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7935" activeTab="0"/>
  </bookViews>
  <sheets>
    <sheet name="Assumptions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<sst xmlns="http://schemas.openxmlformats.org/spreadsheetml/2006/main" count="125" uniqueCount="65">
  <si>
    <t>Purchase price</t>
  </si>
  <si>
    <t>Rental growth rate</t>
  </si>
  <si>
    <t>Property appreciation</t>
  </si>
  <si>
    <t>Insurance</t>
  </si>
  <si>
    <t>Maintenance</t>
  </si>
  <si>
    <t xml:space="preserve">Expense growth </t>
  </si>
  <si>
    <t>Marginal tax rate</t>
  </si>
  <si>
    <t>Property tax</t>
  </si>
  <si>
    <t>Selling expenses</t>
  </si>
  <si>
    <t>Interest rate (Fixed)</t>
  </si>
  <si>
    <t>Year</t>
  </si>
  <si>
    <t>Rent expenses</t>
  </si>
  <si>
    <t>Mortgage payments</t>
  </si>
  <si>
    <t>Interest payment</t>
  </si>
  <si>
    <t>Total equity</t>
  </si>
  <si>
    <t>House value</t>
  </si>
  <si>
    <t>Principal payments</t>
  </si>
  <si>
    <t>Total:</t>
  </si>
  <si>
    <t>In flow</t>
  </si>
  <si>
    <t>Other</t>
  </si>
  <si>
    <t>Loan amount</t>
  </si>
  <si>
    <t>Overall "out of pocket"</t>
  </si>
  <si>
    <t>Investments portfolio</t>
  </si>
  <si>
    <t>Mortgage initiation fee</t>
  </si>
  <si>
    <t>Down payment + Origination</t>
  </si>
  <si>
    <t>Cash at time sold</t>
  </si>
  <si>
    <t xml:space="preserve">Inflation expectation </t>
  </si>
  <si>
    <t>Invetments opportunity</t>
  </si>
  <si>
    <t>Down payment</t>
  </si>
  <si>
    <t>Option 1: Buy the house</t>
  </si>
  <si>
    <t>Option 2: Rent the house</t>
  </si>
  <si>
    <t>Out flows</t>
  </si>
  <si>
    <t>Input Variables</t>
  </si>
  <si>
    <t>Initial monthly rent</t>
  </si>
  <si>
    <t>Loan maturity (years)</t>
  </si>
  <si>
    <t>Mortgage Payment</t>
  </si>
  <si>
    <t>Holding period (years)</t>
  </si>
  <si>
    <t>Insurance &amp; Maintenance</t>
  </si>
  <si>
    <t>Tax benefits</t>
  </si>
  <si>
    <t>insurance</t>
  </si>
  <si>
    <t>maintenance</t>
  </si>
  <si>
    <t>Cost of living in my own place, use Goal Seek</t>
  </si>
  <si>
    <t>&gt;&gt;&gt;&gt;&gt;&gt;</t>
  </si>
  <si>
    <t>J42</t>
  </si>
  <si>
    <t>d4</t>
  </si>
  <si>
    <t>initiate monthly rent</t>
  </si>
  <si>
    <t>&lt;&lt;still needed</t>
  </si>
  <si>
    <t>ROBERT</t>
  </si>
  <si>
    <t>JONATHAN</t>
  </si>
  <si>
    <t>GIVEN</t>
  </si>
  <si>
    <t>MOHAMMED</t>
  </si>
  <si>
    <t>given</t>
  </si>
  <si>
    <t>KHALID</t>
  </si>
  <si>
    <t>calculated</t>
  </si>
  <si>
    <t>formula</t>
  </si>
  <si>
    <t>Property</t>
  </si>
  <si>
    <t>Address</t>
  </si>
  <si>
    <t>Rent</t>
  </si>
  <si>
    <t>Averages</t>
  </si>
  <si>
    <t>6306 W 64th St</t>
  </si>
  <si>
    <t xml:space="preserve">for sale </t>
  </si>
  <si>
    <t>zestimate</t>
  </si>
  <si>
    <t>6238 W 60th St</t>
  </si>
  <si>
    <t xml:space="preserve">5716 W 64th Pl, </t>
  </si>
  <si>
    <t>JOSH &amp; Alina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</si>
</sst>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"/>
    <numFmt numFmtId="168" formatCode="&quot;$&quot;#,##0.000_);[Red]\(&quot;$&quot;#,##0.000\)"/>
    <numFmt numFmtId="169" formatCode="&quot;$&quot;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EFB2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0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1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164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5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2" fillId="35" borderId="13" xfId="0" applyFont="1" applyFill="1" applyBorder="1" applyAlignment="1">
      <alignment/>
    </xf>
    <xf numFmtId="6" fontId="0" fillId="35" borderId="0" xfId="0" applyNumberFormat="1" applyFill="1" applyBorder="1" applyAlignment="1">
      <alignment/>
    </xf>
    <xf numFmtId="6" fontId="0" fillId="35" borderId="14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164" fontId="0" fillId="36" borderId="17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164" fontId="0" fillId="37" borderId="0" xfId="0" applyNumberFormat="1" applyFill="1" applyBorder="1" applyAlignment="1">
      <alignment/>
    </xf>
    <xf numFmtId="164" fontId="0" fillId="37" borderId="14" xfId="0" applyNumberForma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164" fontId="0" fillId="37" borderId="16" xfId="0" applyNumberFormat="1" applyFill="1" applyBorder="1" applyAlignment="1">
      <alignment/>
    </xf>
    <xf numFmtId="9" fontId="0" fillId="34" borderId="11" xfId="59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0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3" xfId="0" applyFont="1" applyFill="1" applyBorder="1" applyAlignment="1">
      <alignment/>
    </xf>
    <xf numFmtId="6" fontId="0" fillId="2" borderId="0" xfId="0" applyNumberFormat="1" applyFill="1" applyBorder="1" applyAlignment="1">
      <alignment/>
    </xf>
    <xf numFmtId="6" fontId="0" fillId="2" borderId="14" xfId="0" applyNumberFormat="1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5" xfId="0" applyFill="1" applyBorder="1" applyAlignment="1">
      <alignment/>
    </xf>
    <xf numFmtId="164" fontId="0" fillId="3" borderId="16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0" fillId="38" borderId="11" xfId="0" applyFill="1" applyBorder="1" applyAlignment="1">
      <alignment/>
    </xf>
    <xf numFmtId="9" fontId="0" fillId="38" borderId="11" xfId="59" applyFont="1" applyFill="1" applyBorder="1" applyAlignment="1">
      <alignment/>
    </xf>
    <xf numFmtId="0" fontId="0" fillId="38" borderId="0" xfId="0" applyFill="1" applyBorder="1" applyAlignment="1">
      <alignment/>
    </xf>
    <xf numFmtId="164" fontId="0" fillId="38" borderId="0" xfId="0" applyNumberFormat="1" applyFill="1" applyBorder="1" applyAlignment="1">
      <alignment/>
    </xf>
    <xf numFmtId="0" fontId="0" fillId="38" borderId="14" xfId="0" applyFill="1" applyBorder="1" applyAlignment="1">
      <alignment/>
    </xf>
    <xf numFmtId="8" fontId="0" fillId="38" borderId="0" xfId="0" applyNumberFormat="1" applyFill="1" applyBorder="1" applyAlignment="1">
      <alignment/>
    </xf>
    <xf numFmtId="3" fontId="0" fillId="38" borderId="0" xfId="0" applyNumberFormat="1" applyFill="1" applyBorder="1" applyAlignment="1">
      <alignment/>
    </xf>
    <xf numFmtId="10" fontId="0" fillId="38" borderId="0" xfId="0" applyNumberForma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ont="1" applyFill="1" applyBorder="1" applyAlignment="1">
      <alignment/>
    </xf>
    <xf numFmtId="10" fontId="0" fillId="0" borderId="0" xfId="0" applyNumberFormat="1" applyAlignment="1">
      <alignment/>
    </xf>
    <xf numFmtId="44" fontId="0" fillId="0" borderId="16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4" xfId="44" applyFont="1" applyBorder="1" applyAlignment="1">
      <alignment/>
    </xf>
    <xf numFmtId="0" fontId="0" fillId="0" borderId="19" xfId="0" applyBorder="1" applyAlignment="1">
      <alignment horizontal="center"/>
    </xf>
    <xf numFmtId="44" fontId="0" fillId="0" borderId="20" xfId="44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36</xdr:row>
      <xdr:rowOff>85725</xdr:rowOff>
    </xdr:from>
    <xdr:to>
      <xdr:col>14</xdr:col>
      <xdr:colOff>171450</xdr:colOff>
      <xdr:row>46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153150"/>
          <a:ext cx="2343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3.28125" style="0" customWidth="1"/>
    <col min="3" max="3" width="10.00390625" style="0" customWidth="1"/>
    <col min="4" max="4" width="12.28125" style="0" bestFit="1" customWidth="1"/>
    <col min="5" max="5" width="12.8515625" style="0" customWidth="1"/>
    <col min="6" max="6" width="12.421875" style="0" bestFit="1" customWidth="1"/>
    <col min="7" max="7" width="10.28125" style="0" bestFit="1" customWidth="1"/>
    <col min="8" max="8" width="11.57421875" style="0" bestFit="1" customWidth="1"/>
    <col min="9" max="9" width="9.7109375" style="0" bestFit="1" customWidth="1"/>
    <col min="10" max="10" width="12.7109375" style="0" bestFit="1" customWidth="1"/>
  </cols>
  <sheetData>
    <row r="1" spans="1:10" ht="13.5" thickBot="1">
      <c r="A1" s="45"/>
      <c r="B1" s="84" t="s">
        <v>32</v>
      </c>
      <c r="C1" s="46"/>
      <c r="D1" s="46"/>
      <c r="E1" s="46"/>
      <c r="F1" s="46"/>
      <c r="G1" s="46"/>
      <c r="H1" s="46"/>
      <c r="I1" s="46"/>
      <c r="J1" s="46"/>
    </row>
    <row r="2" spans="2:10" ht="12.75">
      <c r="B2" s="47" t="s">
        <v>26</v>
      </c>
      <c r="C2" s="48"/>
      <c r="D2" s="49">
        <v>0.02</v>
      </c>
      <c r="E2" s="95" t="s">
        <v>46</v>
      </c>
      <c r="F2" s="95" t="s">
        <v>47</v>
      </c>
      <c r="G2" s="85" t="s">
        <v>28</v>
      </c>
      <c r="H2" s="85"/>
      <c r="I2" s="86">
        <v>0.2</v>
      </c>
      <c r="J2" s="94" t="s">
        <v>49</v>
      </c>
    </row>
    <row r="3" spans="2:10" ht="12.75">
      <c r="B3" s="97" t="s">
        <v>0</v>
      </c>
      <c r="C3" s="87"/>
      <c r="D3" s="88">
        <f>D47</f>
        <v>221266.66666666666</v>
      </c>
      <c r="E3" s="98" t="s">
        <v>53</v>
      </c>
      <c r="F3" s="96" t="s">
        <v>47</v>
      </c>
      <c r="G3" s="87" t="s">
        <v>20</v>
      </c>
      <c r="H3" s="87"/>
      <c r="I3" s="88">
        <f>D3*(1-I2)</f>
        <v>177013.33333333334</v>
      </c>
      <c r="J3" s="93" t="s">
        <v>54</v>
      </c>
    </row>
    <row r="4" spans="2:11" ht="12.75">
      <c r="B4" s="97" t="s">
        <v>33</v>
      </c>
      <c r="C4" s="87"/>
      <c r="D4" s="88">
        <v>804.67</v>
      </c>
      <c r="E4" s="98" t="s">
        <v>53</v>
      </c>
      <c r="F4" s="96" t="s">
        <v>47</v>
      </c>
      <c r="G4" s="98" t="s">
        <v>9</v>
      </c>
      <c r="H4" s="87"/>
      <c r="I4" s="92">
        <v>0.0378</v>
      </c>
      <c r="J4" s="89"/>
      <c r="K4" t="s">
        <v>47</v>
      </c>
    </row>
    <row r="5" spans="1:11" ht="12.75">
      <c r="A5" s="99"/>
      <c r="B5" s="50" t="s">
        <v>1</v>
      </c>
      <c r="C5" s="51"/>
      <c r="D5" s="54">
        <v>0.025</v>
      </c>
      <c r="E5" s="96" t="s">
        <v>46</v>
      </c>
      <c r="F5" s="96" t="s">
        <v>52</v>
      </c>
      <c r="G5" s="51" t="s">
        <v>23</v>
      </c>
      <c r="H5" s="51"/>
      <c r="I5" s="52">
        <v>3000</v>
      </c>
      <c r="J5" s="53" t="s">
        <v>46</v>
      </c>
      <c r="K5" t="s">
        <v>48</v>
      </c>
    </row>
    <row r="6" spans="1:10" ht="12.75">
      <c r="A6" s="99"/>
      <c r="B6" s="50" t="s">
        <v>2</v>
      </c>
      <c r="C6" s="51"/>
      <c r="D6" s="54">
        <v>0.025</v>
      </c>
      <c r="E6" s="96" t="s">
        <v>46</v>
      </c>
      <c r="F6" s="96" t="s">
        <v>52</v>
      </c>
      <c r="G6" s="87" t="s">
        <v>34</v>
      </c>
      <c r="H6" s="87"/>
      <c r="I6" s="91">
        <v>30</v>
      </c>
      <c r="J6" s="93" t="s">
        <v>49</v>
      </c>
    </row>
    <row r="7" spans="2:10" ht="12.75">
      <c r="B7" s="97" t="s">
        <v>3</v>
      </c>
      <c r="C7" s="87"/>
      <c r="D7" s="88">
        <v>1344</v>
      </c>
      <c r="E7" s="98"/>
      <c r="F7" s="96" t="s">
        <v>64</v>
      </c>
      <c r="G7" s="87" t="s">
        <v>35</v>
      </c>
      <c r="H7" s="87"/>
      <c r="I7" s="90">
        <f>PMT(I4/12,I6*12,D3*(1-I2),0)*-1</f>
        <v>822.7925809965632</v>
      </c>
      <c r="J7" s="93" t="s">
        <v>54</v>
      </c>
    </row>
    <row r="8" spans="2:10" ht="12.75">
      <c r="B8" s="97" t="s">
        <v>4</v>
      </c>
      <c r="C8" s="87"/>
      <c r="D8" s="88">
        <v>2199.67</v>
      </c>
      <c r="E8" s="98"/>
      <c r="F8" s="96" t="s">
        <v>64</v>
      </c>
      <c r="G8" s="87" t="s">
        <v>36</v>
      </c>
      <c r="H8" s="87"/>
      <c r="I8" s="87">
        <v>6</v>
      </c>
      <c r="J8" s="93" t="s">
        <v>49</v>
      </c>
    </row>
    <row r="9" spans="2:10" ht="12.75">
      <c r="B9" s="97" t="s">
        <v>5</v>
      </c>
      <c r="C9" s="87"/>
      <c r="D9" s="92">
        <f>D6</f>
        <v>0.025</v>
      </c>
      <c r="E9" s="98" t="s">
        <v>54</v>
      </c>
      <c r="F9" s="51"/>
      <c r="G9" s="87" t="s">
        <v>8</v>
      </c>
      <c r="H9" s="87"/>
      <c r="I9" s="92">
        <v>0.065</v>
      </c>
      <c r="J9" s="93" t="s">
        <v>49</v>
      </c>
    </row>
    <row r="10" spans="2:11" ht="12.75">
      <c r="B10" s="97" t="s">
        <v>6</v>
      </c>
      <c r="C10" s="87"/>
      <c r="D10" s="92">
        <v>0.25</v>
      </c>
      <c r="E10" s="98" t="s">
        <v>51</v>
      </c>
      <c r="F10" s="51"/>
      <c r="G10" s="51" t="s">
        <v>27</v>
      </c>
      <c r="H10" s="51"/>
      <c r="I10" s="54">
        <v>0.085</v>
      </c>
      <c r="J10" s="103" t="s">
        <v>46</v>
      </c>
      <c r="K10" t="s">
        <v>50</v>
      </c>
    </row>
    <row r="11" spans="2:10" ht="13.5" thickBot="1">
      <c r="B11" s="55" t="s">
        <v>7</v>
      </c>
      <c r="C11" s="56"/>
      <c r="D11" s="57">
        <f>0.0175*D3</f>
        <v>3872.166666666667</v>
      </c>
      <c r="E11" s="100" t="s">
        <v>46</v>
      </c>
      <c r="F11" s="101" t="s">
        <v>48</v>
      </c>
      <c r="G11" s="56"/>
      <c r="H11" s="56"/>
      <c r="I11" s="56"/>
      <c r="J11" s="58"/>
    </row>
    <row r="12" ht="13.5" thickBot="1"/>
    <row r="13" spans="2:11" ht="15.75">
      <c r="B13" s="67" t="s">
        <v>29</v>
      </c>
      <c r="C13" s="68"/>
      <c r="D13" s="68"/>
      <c r="E13" s="68"/>
      <c r="F13" s="69"/>
      <c r="G13" s="69"/>
      <c r="H13" s="69"/>
      <c r="I13" s="69"/>
      <c r="J13" s="70"/>
      <c r="K13" s="102"/>
    </row>
    <row r="14" spans="2:11" ht="12.75">
      <c r="B14" s="71"/>
      <c r="C14" s="72"/>
      <c r="D14" s="72"/>
      <c r="E14" s="72"/>
      <c r="F14" s="73"/>
      <c r="G14" s="73"/>
      <c r="H14" s="73"/>
      <c r="I14" s="73"/>
      <c r="J14" s="74"/>
      <c r="K14" s="75"/>
    </row>
    <row r="15" spans="2:11" ht="12.75">
      <c r="B15" s="71" t="s">
        <v>10</v>
      </c>
      <c r="C15" s="72"/>
      <c r="D15" s="72"/>
      <c r="E15" s="72">
        <v>0</v>
      </c>
      <c r="F15" s="72">
        <v>1</v>
      </c>
      <c r="G15" s="72">
        <v>2</v>
      </c>
      <c r="H15" s="72">
        <v>3</v>
      </c>
      <c r="I15" s="72">
        <v>4</v>
      </c>
      <c r="J15" s="75">
        <v>5</v>
      </c>
      <c r="K15" s="75">
        <v>6</v>
      </c>
    </row>
    <row r="16" spans="2:11" ht="15.75">
      <c r="B16" s="76" t="s">
        <v>31</v>
      </c>
      <c r="C16" s="72"/>
      <c r="D16" s="72"/>
      <c r="E16" s="72"/>
      <c r="F16" s="72"/>
      <c r="G16" s="72"/>
      <c r="H16" s="72"/>
      <c r="I16" s="72"/>
      <c r="J16" s="75"/>
      <c r="K16" s="75"/>
    </row>
    <row r="17" spans="2:12" ht="12.75">
      <c r="B17" s="71" t="s">
        <v>24</v>
      </c>
      <c r="C17" s="72"/>
      <c r="D17" s="72"/>
      <c r="E17" s="73">
        <f>I2*D3+I5</f>
        <v>47253.333333333336</v>
      </c>
      <c r="F17" s="72"/>
      <c r="G17" s="72"/>
      <c r="H17" s="72"/>
      <c r="I17" s="72"/>
      <c r="J17" s="75"/>
      <c r="K17" s="75"/>
      <c r="L17" s="45"/>
    </row>
    <row r="18" spans="2:11" ht="12.75">
      <c r="B18" s="71" t="s">
        <v>37</v>
      </c>
      <c r="C18" s="72"/>
      <c r="D18" s="72"/>
      <c r="E18" s="72"/>
      <c r="F18" s="73">
        <f>D7+D8</f>
        <v>3543.67</v>
      </c>
      <c r="G18" s="73">
        <f aca="true" t="shared" si="0" ref="G18:K19">F18*(1+$D$9)</f>
        <v>3632.2617499999997</v>
      </c>
      <c r="H18" s="73">
        <f t="shared" si="0"/>
        <v>3723.068293749999</v>
      </c>
      <c r="I18" s="73">
        <f t="shared" si="0"/>
        <v>3816.1450010937488</v>
      </c>
      <c r="J18" s="74">
        <f t="shared" si="0"/>
        <v>3911.548626121092</v>
      </c>
      <c r="K18" s="74">
        <f>J18*(1+$D$9)</f>
        <v>4009.337341774119</v>
      </c>
    </row>
    <row r="19" spans="2:11" ht="12.75">
      <c r="B19" s="71" t="s">
        <v>7</v>
      </c>
      <c r="C19" s="72"/>
      <c r="D19" s="72"/>
      <c r="E19" s="72"/>
      <c r="F19" s="73">
        <f>$D$11</f>
        <v>3872.166666666667</v>
      </c>
      <c r="G19" s="73">
        <f t="shared" si="0"/>
        <v>3968.9708333333333</v>
      </c>
      <c r="H19" s="73">
        <f t="shared" si="0"/>
        <v>4068.195104166666</v>
      </c>
      <c r="I19" s="73">
        <f t="shared" si="0"/>
        <v>4169.899981770833</v>
      </c>
      <c r="J19" s="74">
        <f t="shared" si="0"/>
        <v>4274.1474813151035</v>
      </c>
      <c r="K19" s="74">
        <f t="shared" si="0"/>
        <v>4381.001168347981</v>
      </c>
    </row>
    <row r="20" spans="2:11" ht="12.75">
      <c r="B20" s="71" t="s">
        <v>12</v>
      </c>
      <c r="C20" s="72"/>
      <c r="D20" s="72"/>
      <c r="E20" s="72"/>
      <c r="F20" s="77">
        <f>$I$7*12</f>
        <v>9873.510971958758</v>
      </c>
      <c r="G20" s="77">
        <f>$I$7*12</f>
        <v>9873.510971958758</v>
      </c>
      <c r="H20" s="77">
        <f>$I$7*12</f>
        <v>9873.510971958758</v>
      </c>
      <c r="I20" s="77">
        <f>$I$7*12</f>
        <v>9873.510971958758</v>
      </c>
      <c r="J20" s="78">
        <f>$I$7*12</f>
        <v>9873.510971958758</v>
      </c>
      <c r="K20" s="78">
        <f>$I$7*12</f>
        <v>9873.510971958758</v>
      </c>
    </row>
    <row r="21" spans="2:11" ht="12.75">
      <c r="B21" s="71"/>
      <c r="C21" s="72"/>
      <c r="D21" s="72"/>
      <c r="E21" s="72"/>
      <c r="F21" s="77"/>
      <c r="G21" s="77"/>
      <c r="H21" s="77"/>
      <c r="I21" s="77"/>
      <c r="J21" s="78"/>
      <c r="K21" s="75"/>
    </row>
    <row r="22" spans="2:11" ht="12.75">
      <c r="B22" s="71" t="s">
        <v>17</v>
      </c>
      <c r="C22" s="72"/>
      <c r="D22" s="72"/>
      <c r="E22" s="73">
        <f aca="true" t="shared" si="1" ref="E22:K22">SUM(E17:E20)</f>
        <v>47253.333333333336</v>
      </c>
      <c r="F22" s="73">
        <f>SUM(F17:F20)</f>
        <v>17289.347638625426</v>
      </c>
      <c r="G22" s="73">
        <f t="shared" si="1"/>
        <v>17474.74355529209</v>
      </c>
      <c r="H22" s="73">
        <f t="shared" si="1"/>
        <v>17664.774369875424</v>
      </c>
      <c r="I22" s="73">
        <f t="shared" si="1"/>
        <v>17859.55595482334</v>
      </c>
      <c r="J22" s="74">
        <f t="shared" si="1"/>
        <v>18059.207079394953</v>
      </c>
      <c r="K22" s="74">
        <f t="shared" si="1"/>
        <v>18263.849482080856</v>
      </c>
    </row>
    <row r="23" spans="2:11" ht="12.75">
      <c r="B23" s="71"/>
      <c r="C23" s="72"/>
      <c r="D23" s="72"/>
      <c r="E23" s="72"/>
      <c r="F23" s="77"/>
      <c r="G23" s="77"/>
      <c r="H23" s="77"/>
      <c r="I23" s="77"/>
      <c r="J23" s="78"/>
      <c r="K23" s="75"/>
    </row>
    <row r="24" spans="2:11" ht="15.75">
      <c r="B24" s="76" t="s">
        <v>18</v>
      </c>
      <c r="C24" s="72"/>
      <c r="D24" s="72"/>
      <c r="E24" s="72"/>
      <c r="F24" s="77"/>
      <c r="G24" s="77"/>
      <c r="H24" s="77"/>
      <c r="I24" s="77"/>
      <c r="J24" s="78"/>
      <c r="K24" s="75"/>
    </row>
    <row r="25" spans="2:11" ht="12.75">
      <c r="B25" s="71" t="s">
        <v>38</v>
      </c>
      <c r="C25" s="72"/>
      <c r="D25" s="72"/>
      <c r="E25" s="77">
        <f aca="true" t="shared" si="2" ref="E25:K25">$D$10*(E30+E19)</f>
        <v>0</v>
      </c>
      <c r="F25" s="77">
        <f>$D$10*(F30+F19)</f>
        <v>2626.8881056051705</v>
      </c>
      <c r="G25" s="77">
        <f t="shared" si="2"/>
        <v>2619.953107843944</v>
      </c>
      <c r="H25" s="77">
        <f t="shared" si="2"/>
        <v>2612.4255876832017</v>
      </c>
      <c r="I25" s="77">
        <f t="shared" si="2"/>
        <v>2604.274610893045</v>
      </c>
      <c r="J25" s="78">
        <f t="shared" si="2"/>
        <v>2595.4678498384505</v>
      </c>
      <c r="K25" s="78">
        <f t="shared" si="2"/>
        <v>2585.971524795918</v>
      </c>
    </row>
    <row r="26" spans="2:11" ht="12.75">
      <c r="B26" s="71"/>
      <c r="C26" s="72"/>
      <c r="D26" s="72"/>
      <c r="E26" s="77"/>
      <c r="F26" s="77"/>
      <c r="G26" s="77"/>
      <c r="H26" s="77"/>
      <c r="I26" s="77"/>
      <c r="J26" s="78"/>
      <c r="K26" s="75"/>
    </row>
    <row r="27" spans="2:11" ht="12.75">
      <c r="B27" s="71" t="s">
        <v>21</v>
      </c>
      <c r="C27" s="72"/>
      <c r="D27" s="72"/>
      <c r="E27" s="77">
        <f aca="true" t="shared" si="3" ref="E27:K27">E22-E25</f>
        <v>47253.333333333336</v>
      </c>
      <c r="F27" s="77">
        <f>F22-F25</f>
        <v>14662.459533020256</v>
      </c>
      <c r="G27" s="77">
        <f t="shared" si="3"/>
        <v>14854.790447448147</v>
      </c>
      <c r="H27" s="77">
        <f t="shared" si="3"/>
        <v>15052.348782192223</v>
      </c>
      <c r="I27" s="77">
        <f t="shared" si="3"/>
        <v>15255.281343930295</v>
      </c>
      <c r="J27" s="78">
        <f t="shared" si="3"/>
        <v>15463.739229556502</v>
      </c>
      <c r="K27" s="78">
        <f t="shared" si="3"/>
        <v>15677.877957284938</v>
      </c>
    </row>
    <row r="28" spans="2:11" ht="12.75">
      <c r="B28" s="71"/>
      <c r="C28" s="72"/>
      <c r="D28" s="72"/>
      <c r="E28" s="77"/>
      <c r="F28" s="77"/>
      <c r="G28" s="77"/>
      <c r="H28" s="77"/>
      <c r="I28" s="77"/>
      <c r="J28" s="78"/>
      <c r="K28" s="75"/>
    </row>
    <row r="29" spans="2:11" ht="15.75">
      <c r="B29" s="76" t="s">
        <v>19</v>
      </c>
      <c r="C29" s="72"/>
      <c r="D29" s="72"/>
      <c r="E29" s="72"/>
      <c r="F29" s="77"/>
      <c r="G29" s="77"/>
      <c r="H29" s="77"/>
      <c r="I29" s="77"/>
      <c r="J29" s="78"/>
      <c r="K29" s="75"/>
    </row>
    <row r="30" spans="2:11" ht="12.75">
      <c r="B30" s="71" t="s">
        <v>13</v>
      </c>
      <c r="C30" s="72"/>
      <c r="D30" s="72"/>
      <c r="E30" s="72"/>
      <c r="F30" s="73">
        <f>CUMIPMT($I$4/12,$I$6*12,$D$3*(1-$I$2),E15*12+1,F15*12,0)*-1</f>
        <v>6635.385755754014</v>
      </c>
      <c r="G30" s="73">
        <f>CUMIPMT($I$4/12,$I$6*12,$D$3*(1-$I$2),F15*12+1,G15*12,0)*-1</f>
        <v>6510.841598042443</v>
      </c>
      <c r="H30" s="73">
        <f>CUMIPMT($I$4/12,$I$6*12,$D$3*(1-$I$2),G15*12+1,H15*12,0)*-1</f>
        <v>6381.507246566141</v>
      </c>
      <c r="I30" s="73">
        <f>CUMIPMT($I$4/12,$I$6*12,$D$3*(1-$I$2),H15*12+1,I15*12,0)*-1</f>
        <v>6247.1984618013485</v>
      </c>
      <c r="J30" s="74">
        <f>CUMIPMT($I$4/12,$I$6*12,$D$3*(1-$I$2),I15*12+1,J15*12,0)*-1</f>
        <v>6107.723918038699</v>
      </c>
      <c r="K30" s="74">
        <f>CUMIPMT($I$4/12,$I$6*12,$D$3*(1-$I$2),J15*12+1,K15*12,0)*-1</f>
        <v>5962.884930835691</v>
      </c>
    </row>
    <row r="31" spans="2:11" ht="12.75">
      <c r="B31" s="71" t="s">
        <v>16</v>
      </c>
      <c r="C31" s="72"/>
      <c r="D31" s="72"/>
      <c r="E31" s="72"/>
      <c r="F31" s="73">
        <f>$I$7*12-F30</f>
        <v>3238.125216204744</v>
      </c>
      <c r="G31" s="73">
        <f>$I$7*12-G30</f>
        <v>3362.6693739163147</v>
      </c>
      <c r="H31" s="73">
        <f>$I$7*12-H30</f>
        <v>3492.0037253926175</v>
      </c>
      <c r="I31" s="73">
        <f>$I$7*12-I30</f>
        <v>3626.3125101574096</v>
      </c>
      <c r="J31" s="74">
        <f>$I$7*12-J30</f>
        <v>3765.7870539200594</v>
      </c>
      <c r="K31" s="74">
        <f>$I$7*12-K30</f>
        <v>3910.626041123067</v>
      </c>
    </row>
    <row r="32" spans="2:11" ht="12.75">
      <c r="B32" s="71" t="s">
        <v>15</v>
      </c>
      <c r="C32" s="72"/>
      <c r="D32" s="72"/>
      <c r="E32" s="73">
        <f>D3</f>
        <v>221266.66666666666</v>
      </c>
      <c r="F32" s="73">
        <f>E32*(1+$D$6)</f>
        <v>226798.3333333333</v>
      </c>
      <c r="G32" s="73">
        <f>F32*(1+$D$6)</f>
        <v>232468.29166666663</v>
      </c>
      <c r="H32" s="73">
        <f>G32*(1+$D$6)</f>
        <v>238279.99895833328</v>
      </c>
      <c r="I32" s="73">
        <f>H32*(1+$D$6)</f>
        <v>244236.99893229158</v>
      </c>
      <c r="J32" s="74">
        <f>I32*(1+$D$6)</f>
        <v>250342.92390559884</v>
      </c>
      <c r="K32" s="74">
        <f>J32*(1+$D$6)</f>
        <v>256601.4970032388</v>
      </c>
    </row>
    <row r="33" spans="2:11" ht="12.75">
      <c r="B33" s="71" t="s">
        <v>14</v>
      </c>
      <c r="C33" s="72"/>
      <c r="D33" s="72"/>
      <c r="E33" s="73">
        <f>E32-$I$3</f>
        <v>44253.333333333314</v>
      </c>
      <c r="F33" s="73">
        <f>E33+F31+(F32-E32)</f>
        <v>53023.12521620472</v>
      </c>
      <c r="G33" s="73">
        <f>F33+G31+(G32-F32)</f>
        <v>62055.75292345435</v>
      </c>
      <c r="H33" s="73">
        <f>G33+H31+(H32-G32)</f>
        <v>71359.46394051361</v>
      </c>
      <c r="I33" s="73">
        <f>H33+I31+(I32-H32)</f>
        <v>80942.77642462932</v>
      </c>
      <c r="J33" s="74">
        <f>I33+J31+(J32-I32)</f>
        <v>90814.48845185665</v>
      </c>
      <c r="K33" s="74">
        <f>J33+K31+(K32-J32)</f>
        <v>100983.68759061967</v>
      </c>
    </row>
    <row r="34" spans="2:11" ht="12.75">
      <c r="B34" s="71"/>
      <c r="C34" s="72"/>
      <c r="D34" s="72"/>
      <c r="E34" s="72"/>
      <c r="F34" s="72"/>
      <c r="G34" s="72"/>
      <c r="H34" s="72"/>
      <c r="I34" s="72"/>
      <c r="J34" s="75"/>
      <c r="K34" s="75"/>
    </row>
    <row r="35" spans="2:11" ht="16.5" thickBot="1">
      <c r="B35" s="79" t="s">
        <v>25</v>
      </c>
      <c r="C35" s="80"/>
      <c r="D35" s="80"/>
      <c r="E35" s="80"/>
      <c r="F35" s="80"/>
      <c r="G35" s="80"/>
      <c r="H35" s="80"/>
      <c r="I35" s="80"/>
      <c r="J35" s="31">
        <f>J33-J32*I9</f>
        <v>74542.19839799273</v>
      </c>
      <c r="K35" s="31">
        <f>K33-K32*I9</f>
        <v>84304.59028540914</v>
      </c>
    </row>
    <row r="36" ht="13.5" thickBot="1"/>
    <row r="37" spans="2:11" ht="15.75">
      <c r="B37" s="59" t="s">
        <v>30</v>
      </c>
      <c r="C37" s="60"/>
      <c r="D37" s="60"/>
      <c r="E37" s="60"/>
      <c r="F37" s="60"/>
      <c r="G37" s="60"/>
      <c r="H37" s="60"/>
      <c r="I37" s="60"/>
      <c r="J37" s="81"/>
      <c r="K37" s="81"/>
    </row>
    <row r="38" spans="2:11" ht="12.75">
      <c r="B38" s="61" t="s">
        <v>11</v>
      </c>
      <c r="C38" s="62"/>
      <c r="D38" s="62"/>
      <c r="E38" s="62"/>
      <c r="F38" s="63">
        <f>$D$4*12</f>
        <v>9656.039999999999</v>
      </c>
      <c r="G38" s="63">
        <f>F38*(1+$D$5)</f>
        <v>9897.440999999999</v>
      </c>
      <c r="H38" s="63">
        <f>G38*(1+$D$5)</f>
        <v>10144.877024999998</v>
      </c>
      <c r="I38" s="63">
        <f>H38*(1+$D$5)</f>
        <v>10398.498950624997</v>
      </c>
      <c r="J38" s="64">
        <f>I38*(1+$D$5)</f>
        <v>10658.46142439062</v>
      </c>
      <c r="K38" s="64">
        <f>J38*(1+$D$5)</f>
        <v>10924.922960000384</v>
      </c>
    </row>
    <row r="39" spans="2:11" ht="12.75">
      <c r="B39" s="61"/>
      <c r="C39" s="62"/>
      <c r="D39" s="62"/>
      <c r="E39" s="62"/>
      <c r="F39" s="62"/>
      <c r="G39" s="62"/>
      <c r="H39" s="62"/>
      <c r="I39" s="62"/>
      <c r="J39" s="65"/>
      <c r="K39" s="65"/>
    </row>
    <row r="40" spans="2:12" ht="13.5" thickBot="1">
      <c r="B40" s="82" t="s">
        <v>22</v>
      </c>
      <c r="C40" s="66"/>
      <c r="D40" s="66"/>
      <c r="E40" s="83">
        <f>E22</f>
        <v>47253.333333333336</v>
      </c>
      <c r="F40" s="83">
        <f>E40*(1+$I$10)+(F27-F38)</f>
        <v>56276.286199686925</v>
      </c>
      <c r="G40" s="83">
        <f>F40*(1+$I$10)+(G27-G38)</f>
        <v>66017.11997410847</v>
      </c>
      <c r="H40" s="83">
        <f>G40*(1+$I$10)+(H27-H38)</f>
        <v>76536.04692909992</v>
      </c>
      <c r="I40" s="83">
        <f>H40*(1+$I$10)+(I27-I38)</f>
        <v>87898.3933113787</v>
      </c>
      <c r="J40" s="31">
        <f>I40*(1+$I$10)+(J27-J38)</f>
        <v>100175.03454801177</v>
      </c>
      <c r="K40" s="31">
        <f>J40*(1+$I$10)+(K27-K38)</f>
        <v>113442.86748187731</v>
      </c>
      <c r="L40" s="45"/>
    </row>
    <row r="42" ht="13.5" thickBot="1">
      <c r="J42" s="44"/>
    </row>
    <row r="43" spans="2:8" ht="12.75">
      <c r="B43" s="106" t="s">
        <v>55</v>
      </c>
      <c r="C43" s="107" t="s">
        <v>56</v>
      </c>
      <c r="D43" s="107" t="s">
        <v>60</v>
      </c>
      <c r="E43" s="107" t="s">
        <v>61</v>
      </c>
      <c r="F43" s="108" t="s">
        <v>57</v>
      </c>
      <c r="G43" s="108" t="s">
        <v>39</v>
      </c>
      <c r="H43" s="108" t="s">
        <v>40</v>
      </c>
    </row>
    <row r="44" spans="2:8" ht="12.75">
      <c r="B44" s="109">
        <v>1</v>
      </c>
      <c r="C44" s="110" t="s">
        <v>59</v>
      </c>
      <c r="D44" s="111">
        <v>229000</v>
      </c>
      <c r="E44" s="111">
        <v>185976</v>
      </c>
      <c r="F44" s="112">
        <v>833</v>
      </c>
      <c r="G44" s="112">
        <f>112*12</f>
        <v>1344</v>
      </c>
      <c r="H44" s="112">
        <v>2290</v>
      </c>
    </row>
    <row r="45" spans="2:8" ht="12.75">
      <c r="B45" s="109">
        <v>2</v>
      </c>
      <c r="C45" s="110" t="s">
        <v>62</v>
      </c>
      <c r="D45" s="111">
        <v>264900</v>
      </c>
      <c r="E45" s="111">
        <v>216743</v>
      </c>
      <c r="F45" s="112">
        <v>963</v>
      </c>
      <c r="G45" s="112">
        <f>124*12</f>
        <v>1488</v>
      </c>
      <c r="H45" s="112">
        <v>2640</v>
      </c>
    </row>
    <row r="46" spans="2:8" ht="13.5" thickBot="1">
      <c r="B46" s="113">
        <v>3</v>
      </c>
      <c r="C46" s="104" t="s">
        <v>63</v>
      </c>
      <c r="D46" s="105">
        <v>169900</v>
      </c>
      <c r="E46" s="105">
        <v>150650</v>
      </c>
      <c r="F46" s="114">
        <v>618</v>
      </c>
      <c r="G46" s="114">
        <f>100*12</f>
        <v>1200</v>
      </c>
      <c r="H46" s="114">
        <v>1669</v>
      </c>
    </row>
    <row r="47" spans="2:8" ht="14.25" thickBot="1" thickTop="1">
      <c r="B47" s="115" t="s">
        <v>58</v>
      </c>
      <c r="C47" s="116"/>
      <c r="D47" s="117">
        <f>AVERAGE(D44:D46)</f>
        <v>221266.66666666666</v>
      </c>
      <c r="E47" s="117">
        <f>AVERAGE(E44:E46)</f>
        <v>184456.33333333334</v>
      </c>
      <c r="F47" s="118">
        <f>AVERAGE(F44:F46)</f>
        <v>804.6666666666666</v>
      </c>
      <c r="G47" s="118">
        <f>AVERAGE(G44:G46)</f>
        <v>1344</v>
      </c>
      <c r="H47" s="118">
        <f>AVERAGE(H44:H46)</f>
        <v>2199.6666666666665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3"/>
  <sheetViews>
    <sheetView zoomScalePageLayoutView="0" workbookViewId="0" topLeftCell="A20">
      <selection activeCell="L32" sqref="L32"/>
    </sheetView>
  </sheetViews>
  <sheetFormatPr defaultColWidth="9.140625" defaultRowHeight="12.75"/>
  <cols>
    <col min="3" max="3" width="10.00390625" style="0" customWidth="1"/>
    <col min="4" max="4" width="11.28125" style="0" bestFit="1" customWidth="1"/>
    <col min="6" max="6" width="11.00390625" style="0" bestFit="1" customWidth="1"/>
    <col min="9" max="9" width="9.7109375" style="0" bestFit="1" customWidth="1"/>
    <col min="10" max="10" width="10.140625" style="0" bestFit="1" customWidth="1"/>
  </cols>
  <sheetData>
    <row r="1" spans="2:3" ht="13.5" thickBot="1">
      <c r="B1" s="1" t="s">
        <v>32</v>
      </c>
      <c r="C1" s="1"/>
    </row>
    <row r="2" spans="2:10" ht="12.75">
      <c r="B2" s="2" t="s">
        <v>26</v>
      </c>
      <c r="C2" s="3"/>
      <c r="D2" s="4">
        <v>0.02</v>
      </c>
      <c r="E2" s="3"/>
      <c r="F2" s="3"/>
      <c r="G2" s="3" t="s">
        <v>28</v>
      </c>
      <c r="H2" s="3"/>
      <c r="I2" s="43">
        <v>0.2</v>
      </c>
      <c r="J2" s="5"/>
    </row>
    <row r="3" spans="2:10" ht="12.75">
      <c r="B3" s="6" t="s">
        <v>0</v>
      </c>
      <c r="C3" s="7"/>
      <c r="D3" s="8">
        <v>450000</v>
      </c>
      <c r="E3" s="7"/>
      <c r="F3" s="7"/>
      <c r="G3" s="7" t="s">
        <v>20</v>
      </c>
      <c r="H3" s="7"/>
      <c r="I3" s="8">
        <f>D3*(1-I2)</f>
        <v>360000</v>
      </c>
      <c r="J3" s="9"/>
    </row>
    <row r="4" spans="2:10" ht="12.75">
      <c r="B4" s="6" t="s">
        <v>33</v>
      </c>
      <c r="C4" s="7"/>
      <c r="D4" s="8">
        <v>2400</v>
      </c>
      <c r="E4" s="7"/>
      <c r="F4" s="7"/>
      <c r="G4" s="7" t="s">
        <v>9</v>
      </c>
      <c r="H4" s="7"/>
      <c r="I4" s="10">
        <v>0.04</v>
      </c>
      <c r="J4" s="9"/>
    </row>
    <row r="5" spans="2:10" ht="12.75">
      <c r="B5" s="6" t="s">
        <v>1</v>
      </c>
      <c r="C5" s="7"/>
      <c r="D5" s="10">
        <v>0.025</v>
      </c>
      <c r="E5" s="7"/>
      <c r="F5" s="7"/>
      <c r="G5" s="7" t="s">
        <v>23</v>
      </c>
      <c r="H5" s="7"/>
      <c r="I5" s="8">
        <v>3000</v>
      </c>
      <c r="J5" s="9"/>
    </row>
    <row r="6" spans="2:10" ht="12.75">
      <c r="B6" s="6" t="s">
        <v>2</v>
      </c>
      <c r="C6" s="7"/>
      <c r="D6" s="10">
        <v>0.025</v>
      </c>
      <c r="E6" s="7"/>
      <c r="F6" s="7"/>
      <c r="G6" s="7" t="s">
        <v>34</v>
      </c>
      <c r="H6" s="7"/>
      <c r="I6" s="11">
        <v>30</v>
      </c>
      <c r="J6" s="9"/>
    </row>
    <row r="7" spans="2:10" ht="12.75">
      <c r="B7" s="6" t="s">
        <v>3</v>
      </c>
      <c r="C7" s="7"/>
      <c r="D7" s="8">
        <f>0.015*D3</f>
        <v>6750</v>
      </c>
      <c r="E7" s="7"/>
      <c r="F7" s="7"/>
      <c r="G7" s="7" t="s">
        <v>35</v>
      </c>
      <c r="H7" s="7"/>
      <c r="I7" s="12">
        <f>PMT(I4/12,I6*12,D3*(1-I2),0)*-1</f>
        <v>1718.6950636756542</v>
      </c>
      <c r="J7" s="9"/>
    </row>
    <row r="8" spans="2:10" ht="12.75">
      <c r="B8" s="6" t="s">
        <v>4</v>
      </c>
      <c r="C8" s="7"/>
      <c r="D8" s="8">
        <f>0.01*D3</f>
        <v>4500</v>
      </c>
      <c r="E8" s="7"/>
      <c r="F8" s="7"/>
      <c r="G8" s="7" t="s">
        <v>36</v>
      </c>
      <c r="H8" s="7"/>
      <c r="I8" s="7">
        <v>5</v>
      </c>
      <c r="J8" s="9"/>
    </row>
    <row r="9" spans="2:10" ht="12.75">
      <c r="B9" s="6" t="s">
        <v>5</v>
      </c>
      <c r="C9" s="7"/>
      <c r="D9" s="10">
        <f>D6</f>
        <v>0.025</v>
      </c>
      <c r="E9" s="7"/>
      <c r="F9" s="7"/>
      <c r="G9" s="7" t="s">
        <v>8</v>
      </c>
      <c r="H9" s="7"/>
      <c r="I9" s="10">
        <v>0.065</v>
      </c>
      <c r="J9" s="9"/>
    </row>
    <row r="10" spans="2:10" ht="12.75">
      <c r="B10" s="6" t="s">
        <v>6</v>
      </c>
      <c r="C10" s="7"/>
      <c r="D10" s="10">
        <v>0.28</v>
      </c>
      <c r="E10" s="7"/>
      <c r="F10" s="7"/>
      <c r="G10" s="7" t="s">
        <v>27</v>
      </c>
      <c r="H10" s="7"/>
      <c r="I10" s="10">
        <v>0.085</v>
      </c>
      <c r="J10" s="9"/>
    </row>
    <row r="11" spans="2:10" ht="13.5" thickBot="1">
      <c r="B11" s="13" t="s">
        <v>7</v>
      </c>
      <c r="C11" s="14"/>
      <c r="D11" s="15">
        <f>0.0175*D3</f>
        <v>7875.000000000001</v>
      </c>
      <c r="E11" s="14"/>
      <c r="F11" s="14"/>
      <c r="G11" s="14"/>
      <c r="H11" s="14"/>
      <c r="I11" s="14"/>
      <c r="J11" s="16"/>
    </row>
    <row r="12" ht="13.5" thickBot="1"/>
    <row r="13" spans="2:10" ht="15.75">
      <c r="B13" s="17" t="s">
        <v>29</v>
      </c>
      <c r="C13" s="18"/>
      <c r="D13" s="18"/>
      <c r="E13" s="18"/>
      <c r="F13" s="19"/>
      <c r="G13" s="19"/>
      <c r="H13" s="19"/>
      <c r="I13" s="19"/>
      <c r="J13" s="20"/>
    </row>
    <row r="14" spans="2:10" ht="12.75">
      <c r="B14" s="21"/>
      <c r="C14" s="22"/>
      <c r="D14" s="22"/>
      <c r="E14" s="22"/>
      <c r="F14" s="23"/>
      <c r="G14" s="23"/>
      <c r="H14" s="23"/>
      <c r="I14" s="23"/>
      <c r="J14" s="24"/>
    </row>
    <row r="15" spans="2:10" ht="12.75">
      <c r="B15" s="21" t="s">
        <v>10</v>
      </c>
      <c r="C15" s="22"/>
      <c r="D15" s="22"/>
      <c r="E15" s="22">
        <v>0</v>
      </c>
      <c r="F15" s="22">
        <v>1</v>
      </c>
      <c r="G15" s="22">
        <v>2</v>
      </c>
      <c r="H15" s="22">
        <v>3</v>
      </c>
      <c r="I15" s="22">
        <v>4</v>
      </c>
      <c r="J15" s="25">
        <v>5</v>
      </c>
    </row>
    <row r="16" spans="2:10" ht="15.75">
      <c r="B16" s="26" t="s">
        <v>31</v>
      </c>
      <c r="C16" s="22"/>
      <c r="D16" s="22"/>
      <c r="E16" s="22"/>
      <c r="F16" s="22"/>
      <c r="G16" s="22"/>
      <c r="H16" s="22"/>
      <c r="I16" s="22"/>
      <c r="J16" s="25"/>
    </row>
    <row r="17" spans="2:10" ht="12.75">
      <c r="B17" s="21" t="s">
        <v>24</v>
      </c>
      <c r="C17" s="22"/>
      <c r="D17" s="22"/>
      <c r="E17" s="23">
        <f>I2*D3+I5</f>
        <v>93000</v>
      </c>
      <c r="F17" s="22"/>
      <c r="G17" s="22"/>
      <c r="H17" s="22"/>
      <c r="I17" s="22"/>
      <c r="J17" s="25"/>
    </row>
    <row r="18" spans="2:10" ht="12.75">
      <c r="B18" s="21" t="s">
        <v>37</v>
      </c>
      <c r="C18" s="22"/>
      <c r="D18" s="22"/>
      <c r="E18" s="22"/>
      <c r="F18" s="23">
        <f>D7+D8</f>
        <v>11250</v>
      </c>
      <c r="G18" s="23">
        <f aca="true" t="shared" si="0" ref="G18:J19">F18*(1+$D$9)</f>
        <v>11531.249999999998</v>
      </c>
      <c r="H18" s="23">
        <f t="shared" si="0"/>
        <v>11819.531249999996</v>
      </c>
      <c r="I18" s="23">
        <f t="shared" si="0"/>
        <v>12115.019531249995</v>
      </c>
      <c r="J18" s="24">
        <f t="shared" si="0"/>
        <v>12417.895019531243</v>
      </c>
    </row>
    <row r="19" spans="2:10" ht="12.75">
      <c r="B19" s="21" t="s">
        <v>7</v>
      </c>
      <c r="C19" s="22"/>
      <c r="D19" s="22"/>
      <c r="E19" s="22"/>
      <c r="F19" s="23">
        <f>$D$11</f>
        <v>7875.000000000001</v>
      </c>
      <c r="G19" s="23">
        <f t="shared" si="0"/>
        <v>8071.875</v>
      </c>
      <c r="H19" s="23">
        <f t="shared" si="0"/>
        <v>8273.671875</v>
      </c>
      <c r="I19" s="23">
        <f t="shared" si="0"/>
        <v>8480.513671875</v>
      </c>
      <c r="J19" s="24">
        <f t="shared" si="0"/>
        <v>8692.526513671874</v>
      </c>
    </row>
    <row r="20" spans="2:10" ht="12.75">
      <c r="B20" s="21" t="s">
        <v>12</v>
      </c>
      <c r="C20" s="22"/>
      <c r="D20" s="22"/>
      <c r="E20" s="22"/>
      <c r="F20" s="27">
        <f>$I$7*12</f>
        <v>20624.340764107852</v>
      </c>
      <c r="G20" s="27">
        <f>$I$7*12</f>
        <v>20624.340764107852</v>
      </c>
      <c r="H20" s="27">
        <f>$I$7*12</f>
        <v>20624.340764107852</v>
      </c>
      <c r="I20" s="27">
        <f>$I$7*12</f>
        <v>20624.340764107852</v>
      </c>
      <c r="J20" s="28">
        <f>$I$7*12</f>
        <v>20624.340764107852</v>
      </c>
    </row>
    <row r="21" spans="2:10" ht="12.75">
      <c r="B21" s="21"/>
      <c r="C21" s="22"/>
      <c r="D21" s="22"/>
      <c r="E21" s="22"/>
      <c r="F21" s="27"/>
      <c r="G21" s="27"/>
      <c r="H21" s="27"/>
      <c r="I21" s="27"/>
      <c r="J21" s="28"/>
    </row>
    <row r="22" spans="2:10" ht="12.75">
      <c r="B22" s="21" t="s">
        <v>17</v>
      </c>
      <c r="C22" s="22"/>
      <c r="D22" s="22"/>
      <c r="E22" s="23">
        <f aca="true" t="shared" si="1" ref="E22:J22">SUM(E17:E20)</f>
        <v>93000</v>
      </c>
      <c r="F22" s="23">
        <f>SUM(F17:F20)</f>
        <v>39749.34076410785</v>
      </c>
      <c r="G22" s="23">
        <f t="shared" si="1"/>
        <v>40227.46576410785</v>
      </c>
      <c r="H22" s="23">
        <f t="shared" si="1"/>
        <v>40717.54388910785</v>
      </c>
      <c r="I22" s="23">
        <f t="shared" si="1"/>
        <v>41219.873967232845</v>
      </c>
      <c r="J22" s="24">
        <f t="shared" si="1"/>
        <v>41734.76229731097</v>
      </c>
    </row>
    <row r="23" spans="2:10" ht="12.75">
      <c r="B23" s="21"/>
      <c r="C23" s="22"/>
      <c r="D23" s="22"/>
      <c r="E23" s="22"/>
      <c r="F23" s="27"/>
      <c r="G23" s="27"/>
      <c r="H23" s="27"/>
      <c r="I23" s="27"/>
      <c r="J23" s="28"/>
    </row>
    <row r="24" spans="2:10" ht="15.75">
      <c r="B24" s="26" t="s">
        <v>18</v>
      </c>
      <c r="C24" s="22"/>
      <c r="D24" s="22"/>
      <c r="E24" s="22"/>
      <c r="F24" s="27"/>
      <c r="G24" s="27"/>
      <c r="H24" s="27"/>
      <c r="I24" s="27"/>
      <c r="J24" s="28"/>
    </row>
    <row r="25" spans="2:10" ht="12.75">
      <c r="B25" s="21" t="s">
        <v>38</v>
      </c>
      <c r="C25" s="22"/>
      <c r="D25" s="22"/>
      <c r="E25" s="27">
        <f aca="true" t="shared" si="2" ref="E25:J25">$D$10*(E30+E19)</f>
        <v>0</v>
      </c>
      <c r="F25" s="27">
        <f>$D$10*(F30+F19)</f>
        <v>6204.690689232126</v>
      </c>
      <c r="G25" s="27">
        <f t="shared" si="2"/>
        <v>6187.494369072045</v>
      </c>
      <c r="H25" s="27">
        <f t="shared" si="2"/>
        <v>6168.729691742646</v>
      </c>
      <c r="I25" s="27">
        <f t="shared" si="2"/>
        <v>6148.311066139166</v>
      </c>
      <c r="J25" s="28">
        <f t="shared" si="2"/>
        <v>6126.148871697826</v>
      </c>
    </row>
    <row r="26" spans="2:10" ht="12.75">
      <c r="B26" s="21"/>
      <c r="C26" s="22"/>
      <c r="D26" s="22"/>
      <c r="E26" s="27"/>
      <c r="F26" s="27"/>
      <c r="G26" s="27"/>
      <c r="H26" s="27"/>
      <c r="I26" s="27"/>
      <c r="J26" s="28"/>
    </row>
    <row r="27" spans="2:10" ht="12.75">
      <c r="B27" s="21" t="s">
        <v>21</v>
      </c>
      <c r="C27" s="22"/>
      <c r="D27" s="22"/>
      <c r="E27" s="27">
        <f aca="true" t="shared" si="3" ref="E27:J27">E22-E25</f>
        <v>93000</v>
      </c>
      <c r="F27" s="27">
        <f>F22-F25</f>
        <v>33544.650074875724</v>
      </c>
      <c r="G27" s="27">
        <f t="shared" si="3"/>
        <v>34039.971395035805</v>
      </c>
      <c r="H27" s="27">
        <f t="shared" si="3"/>
        <v>34548.81419736521</v>
      </c>
      <c r="I27" s="27">
        <f t="shared" si="3"/>
        <v>35071.56290109368</v>
      </c>
      <c r="J27" s="28">
        <f t="shared" si="3"/>
        <v>35608.61342561314</v>
      </c>
    </row>
    <row r="28" spans="2:10" ht="12.75">
      <c r="B28" s="21"/>
      <c r="C28" s="22"/>
      <c r="D28" s="22"/>
      <c r="E28" s="27"/>
      <c r="F28" s="27"/>
      <c r="G28" s="27"/>
      <c r="H28" s="27"/>
      <c r="I28" s="27"/>
      <c r="J28" s="28"/>
    </row>
    <row r="29" spans="2:10" ht="15.75">
      <c r="B29" s="26" t="s">
        <v>19</v>
      </c>
      <c r="C29" s="22"/>
      <c r="D29" s="22"/>
      <c r="E29" s="22"/>
      <c r="F29" s="27"/>
      <c r="G29" s="27"/>
      <c r="H29" s="27"/>
      <c r="I29" s="27"/>
      <c r="J29" s="28"/>
    </row>
    <row r="30" spans="2:10" ht="12.75">
      <c r="B30" s="21" t="s">
        <v>13</v>
      </c>
      <c r="C30" s="22"/>
      <c r="D30" s="22"/>
      <c r="E30" s="22"/>
      <c r="F30" s="23">
        <f>CUMIPMT($I$4/12,$I$6*12,$D$3*(1-$I$2),E15*12+1,F15*12,0)*-1</f>
        <v>14284.609604400446</v>
      </c>
      <c r="G30" s="23">
        <f>CUMIPMT($I$4/12,$I$6*12,$D$3*(1-$I$2),F15*12+1,G15*12,0)*-1</f>
        <v>14026.3191752573</v>
      </c>
      <c r="H30" s="23">
        <f>CUMIPMT($I$4/12,$I$6*12,$D$3*(1-$I$2),G15*12+1,H15*12,0)*-1</f>
        <v>13757.505595509447</v>
      </c>
      <c r="I30" s="23">
        <f>CUMIPMT($I$4/12,$I$6*12,$D$3*(1-$I$2),H15*12+1,I15*12,0)*-1</f>
        <v>13477.740135764874</v>
      </c>
      <c r="J30" s="24">
        <f>CUMIPMT($I$4/12,$I$6*12,$D$3*(1-$I$2),I15*12+1,J15*12,0)*-1</f>
        <v>13186.576599534643</v>
      </c>
    </row>
    <row r="31" spans="2:10" ht="12.75">
      <c r="B31" s="21" t="s">
        <v>16</v>
      </c>
      <c r="C31" s="22"/>
      <c r="D31" s="22"/>
      <c r="E31" s="22"/>
      <c r="F31" s="23">
        <f>$I$7*12-F30</f>
        <v>6339.731159707406</v>
      </c>
      <c r="G31" s="23">
        <f>$I$7*12-G30</f>
        <v>6598.021588850552</v>
      </c>
      <c r="H31" s="23">
        <f>$I$7*12-H30</f>
        <v>6866.835168598405</v>
      </c>
      <c r="I31" s="23">
        <f>$I$7*12-I30</f>
        <v>7146.600628342978</v>
      </c>
      <c r="J31" s="24">
        <f>$I$7*12-J30</f>
        <v>7437.764164573209</v>
      </c>
    </row>
    <row r="32" spans="2:10" ht="12.75">
      <c r="B32" s="21" t="s">
        <v>15</v>
      </c>
      <c r="C32" s="22"/>
      <c r="D32" s="22"/>
      <c r="E32" s="23">
        <f>D3</f>
        <v>450000</v>
      </c>
      <c r="F32" s="23">
        <f>E32*(1+$D$6)</f>
        <v>461249.99999999994</v>
      </c>
      <c r="G32" s="23">
        <f>F32*(1+$D$6)</f>
        <v>472781.2499999999</v>
      </c>
      <c r="H32" s="23">
        <f>G32*(1+$D$6)</f>
        <v>484600.7812499998</v>
      </c>
      <c r="I32" s="23">
        <f>H32*(1+$D$6)</f>
        <v>496715.80078124977</v>
      </c>
      <c r="J32" s="24">
        <f>I32*(1+$D$6)</f>
        <v>509133.69580078096</v>
      </c>
    </row>
    <row r="33" spans="2:10" ht="12.75">
      <c r="B33" s="21" t="s">
        <v>14</v>
      </c>
      <c r="C33" s="22"/>
      <c r="D33" s="22"/>
      <c r="E33" s="23">
        <f>E32-$I$3</f>
        <v>90000</v>
      </c>
      <c r="F33" s="23">
        <f>E33+F31+(F32-E32)</f>
        <v>107589.73115970734</v>
      </c>
      <c r="G33" s="23">
        <f>F33+G31+(G32-F32)</f>
        <v>125719.00274855783</v>
      </c>
      <c r="H33" s="23">
        <f>G33+H31+(H32-G32)</f>
        <v>144405.36916715617</v>
      </c>
      <c r="I33" s="23">
        <f>H33+I31+(I32-H32)</f>
        <v>163666.98932674908</v>
      </c>
      <c r="J33" s="24">
        <f>I33+J31+(J32-I32)</f>
        <v>183522.6485108535</v>
      </c>
    </row>
    <row r="34" spans="2:10" ht="12.75">
      <c r="B34" s="21"/>
      <c r="C34" s="22"/>
      <c r="D34" s="22"/>
      <c r="E34" s="22"/>
      <c r="F34" s="22"/>
      <c r="G34" s="22"/>
      <c r="H34" s="22"/>
      <c r="I34" s="22"/>
      <c r="J34" s="25"/>
    </row>
    <row r="35" spans="2:10" ht="16.5" thickBot="1">
      <c r="B35" s="29" t="s">
        <v>25</v>
      </c>
      <c r="C35" s="30"/>
      <c r="D35" s="30"/>
      <c r="E35" s="30"/>
      <c r="F35" s="30"/>
      <c r="G35" s="30"/>
      <c r="H35" s="30"/>
      <c r="I35" s="30"/>
      <c r="J35" s="31">
        <f>J33-J32*I9</f>
        <v>150428.95828380273</v>
      </c>
    </row>
    <row r="36" ht="13.5" thickBot="1">
      <c r="L36" s="45" t="s">
        <v>41</v>
      </c>
    </row>
    <row r="37" spans="2:10" ht="15.75">
      <c r="B37" s="32" t="s">
        <v>30</v>
      </c>
      <c r="C37" s="33"/>
      <c r="D37" s="33"/>
      <c r="E37" s="33"/>
      <c r="F37" s="33"/>
      <c r="G37" s="33"/>
      <c r="H37" s="33"/>
      <c r="I37" s="33"/>
      <c r="J37" s="34"/>
    </row>
    <row r="38" spans="2:10" ht="12.75">
      <c r="B38" s="35" t="s">
        <v>11</v>
      </c>
      <c r="C38" s="36"/>
      <c r="D38" s="36"/>
      <c r="E38" s="36"/>
      <c r="F38" s="37">
        <f>$D$4*12</f>
        <v>28800</v>
      </c>
      <c r="G38" s="37">
        <f>F38*(1+$D$5)</f>
        <v>29519.999999999996</v>
      </c>
      <c r="H38" s="37">
        <f>G38*(1+$D$5)</f>
        <v>30257.999999999993</v>
      </c>
      <c r="I38" s="37">
        <f>H38*(1+$D$5)</f>
        <v>31014.44999999999</v>
      </c>
      <c r="J38" s="38">
        <f>I38*(1+$D$5)</f>
        <v>31789.811249999988</v>
      </c>
    </row>
    <row r="39" spans="2:10" ht="12.75">
      <c r="B39" s="35"/>
      <c r="C39" s="36"/>
      <c r="D39" s="36"/>
      <c r="E39" s="36"/>
      <c r="F39" s="36"/>
      <c r="G39" s="36"/>
      <c r="H39" s="36"/>
      <c r="I39" s="36"/>
      <c r="J39" s="39"/>
    </row>
    <row r="40" spans="2:16" ht="13.5" thickBot="1">
      <c r="B40" s="40" t="s">
        <v>22</v>
      </c>
      <c r="C40" s="41"/>
      <c r="D40" s="41"/>
      <c r="E40" s="42">
        <f>E22</f>
        <v>93000</v>
      </c>
      <c r="F40" s="42">
        <f>E40*(1+$I$10)+(F27-F38)</f>
        <v>105649.65007487572</v>
      </c>
      <c r="G40" s="42">
        <f>F40*(1+$I$10)+(G27-G38)</f>
        <v>119149.84172627598</v>
      </c>
      <c r="H40" s="42">
        <f>G40*(1+$I$10)+(H27-H38)</f>
        <v>133568.39247037465</v>
      </c>
      <c r="I40" s="42">
        <f>H40*(1+$I$10)+(I27-I38)</f>
        <v>148978.81873145018</v>
      </c>
      <c r="J40" s="31">
        <f>I40*(1+$I$10)+(J27-J38)</f>
        <v>165460.8204992366</v>
      </c>
      <c r="O40" s="45" t="s">
        <v>42</v>
      </c>
      <c r="P40" s="45" t="s">
        <v>43</v>
      </c>
    </row>
    <row r="41" spans="15:16" ht="12.75">
      <c r="O41" s="45" t="s">
        <v>42</v>
      </c>
      <c r="P41">
        <v>0</v>
      </c>
    </row>
    <row r="42" ht="12.75">
      <c r="J42" s="44">
        <f>J35-J40</f>
        <v>-15031.862215433881</v>
      </c>
    </row>
    <row r="43" spans="15:17" ht="12.75">
      <c r="O43" s="45" t="s">
        <v>42</v>
      </c>
      <c r="P43" s="45" t="s">
        <v>44</v>
      </c>
      <c r="Q43" s="45" t="s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