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g\Documents\"/>
    </mc:Choice>
  </mc:AlternateContent>
  <bookViews>
    <workbookView xWindow="0" yWindow="0" windowWidth="20490" windowHeight="8820"/>
  </bookViews>
  <sheets>
    <sheet name="Adjusted Income  Statement" sheetId="2" r:id="rId1"/>
    <sheet name="Adjusted Balance Sheet" sheetId="1" r:id="rId2"/>
    <sheet name="Adjusted Cash Flow Statement" sheetId="5" r:id="rId3"/>
    <sheet name="Forecasted Income Statement" sheetId="3" r:id="rId4"/>
    <sheet name="Forecasted Balance Sheet" sheetId="4" r:id="rId5"/>
    <sheet name="Forecasted Cash Flow Statement" sheetId="6" r:id="rId6"/>
    <sheet name="Forecasted Financial Ratios" sheetId="8" r:id="rId7"/>
    <sheet name="Co Past &amp; Present Performance" sheetId="9" r:id="rId8"/>
    <sheet name="Valuation Models" sheetId="10" r:id="rId9"/>
    <sheet name="Company and Equity IV" sheetId="11" r:id="rId10"/>
    <sheet name="Johnson &amp; Johnson" sheetId="12" r:id="rId11"/>
    <sheet name="Pfizer Inc." sheetId="13" r:id="rId12"/>
  </sheets>
  <externalReferences>
    <externalReference r:id="rId13"/>
  </externalReferences>
  <calcPr calcId="162913"/>
  <fileRecoveryPr repairLoad="1"/>
</workbook>
</file>

<file path=xl/calcChain.xml><?xml version="1.0" encoding="utf-8"?>
<calcChain xmlns="http://schemas.openxmlformats.org/spreadsheetml/2006/main">
  <c r="H48" i="11" l="1"/>
  <c r="G48" i="11"/>
  <c r="H23" i="11"/>
  <c r="G23" i="11"/>
  <c r="H11" i="11"/>
  <c r="G11" i="11"/>
  <c r="I45" i="13"/>
  <c r="H35" i="11" s="1"/>
  <c r="I43" i="13"/>
  <c r="I26" i="13"/>
  <c r="G72" i="13"/>
  <c r="H9" i="11" s="1"/>
  <c r="H34" i="11" s="1"/>
  <c r="C29" i="13"/>
  <c r="C28" i="13"/>
  <c r="C26" i="13"/>
  <c r="I34" i="12"/>
  <c r="G35" i="11" s="1"/>
  <c r="I32" i="12"/>
  <c r="I18" i="12"/>
  <c r="G61" i="12"/>
  <c r="G9" i="11" s="1"/>
  <c r="G34" i="11" s="1"/>
  <c r="C23" i="12"/>
  <c r="C22" i="12"/>
  <c r="C20" i="12"/>
  <c r="G24" i="11"/>
  <c r="G22" i="11" s="1"/>
  <c r="H24" i="11"/>
  <c r="H36" i="11" s="1"/>
  <c r="G49" i="11"/>
  <c r="G47" i="11" s="1"/>
  <c r="H49" i="11"/>
  <c r="H47" i="11" s="1"/>
  <c r="G38" i="11" l="1"/>
  <c r="G36" i="11"/>
  <c r="H22" i="11"/>
  <c r="C25" i="12"/>
  <c r="C27" i="12" s="1"/>
  <c r="G10" i="11" s="1"/>
  <c r="G13" i="11" s="1"/>
  <c r="F13" i="11" s="1"/>
  <c r="G51" i="11"/>
  <c r="H51" i="11"/>
  <c r="F51" i="11" s="1"/>
  <c r="H38" i="11"/>
  <c r="F38" i="11" s="1"/>
  <c r="H26" i="11"/>
  <c r="G26" i="11"/>
  <c r="C31" i="13"/>
  <c r="C33" i="13" s="1"/>
  <c r="H10" i="11" s="1"/>
  <c r="H13" i="11" s="1"/>
  <c r="F26" i="11" l="1"/>
  <c r="E42" i="10" l="1"/>
  <c r="D42" i="10"/>
  <c r="C42" i="10"/>
  <c r="B42" i="10"/>
  <c r="F34" i="10"/>
  <c r="C34" i="10"/>
  <c r="E5" i="10"/>
  <c r="E34" i="10" s="1"/>
  <c r="D5" i="10"/>
  <c r="D34" i="10" s="1"/>
  <c r="H18" i="9"/>
  <c r="H19" i="9"/>
  <c r="I37" i="9" s="1"/>
  <c r="H10" i="9"/>
  <c r="D38" i="9" s="1"/>
  <c r="I38" i="9"/>
  <c r="H22" i="9" l="1"/>
  <c r="I39" i="9"/>
  <c r="I40" i="9" s="1"/>
  <c r="H30" i="9"/>
  <c r="H29" i="9"/>
  <c r="L100" i="8"/>
  <c r="L66" i="8"/>
  <c r="L53" i="8"/>
  <c r="L50" i="8"/>
  <c r="L38" i="8"/>
  <c r="L32" i="8"/>
  <c r="H37" i="6"/>
  <c r="H36" i="6"/>
  <c r="H33" i="6" s="1"/>
  <c r="H34" i="6"/>
  <c r="H32" i="6"/>
  <c r="H31" i="6"/>
  <c r="H30" i="6"/>
  <c r="H28" i="6"/>
  <c r="H25" i="6" s="1"/>
  <c r="G101" i="8" s="1"/>
  <c r="H27" i="6"/>
  <c r="H23" i="6"/>
  <c r="H20" i="6"/>
  <c r="H19" i="6" s="1"/>
  <c r="H13" i="6"/>
  <c r="H12" i="6"/>
  <c r="H11" i="6"/>
  <c r="H10" i="6"/>
  <c r="H9" i="6"/>
  <c r="H8" i="6"/>
  <c r="H7" i="6"/>
  <c r="F37" i="6"/>
  <c r="F36" i="6"/>
  <c r="F33" i="6" s="1"/>
  <c r="F32" i="6"/>
  <c r="F28" i="6"/>
  <c r="F25" i="6" s="1"/>
  <c r="F101" i="8" s="1"/>
  <c r="F24" i="6"/>
  <c r="F20" i="6"/>
  <c r="F18" i="6" s="1"/>
  <c r="F15" i="6"/>
  <c r="F13" i="6"/>
  <c r="F12" i="6"/>
  <c r="F11" i="6"/>
  <c r="F10" i="6"/>
  <c r="F9" i="6"/>
  <c r="F8" i="6"/>
  <c r="F7" i="6"/>
  <c r="B39" i="6"/>
  <c r="D39" i="6"/>
  <c r="D37" i="6"/>
  <c r="D36" i="6"/>
  <c r="D32" i="6" s="1"/>
  <c r="D28" i="6"/>
  <c r="D26" i="6" s="1"/>
  <c r="B6" i="6"/>
  <c r="B36" i="6"/>
  <c r="B28" i="6"/>
  <c r="B20" i="6"/>
  <c r="D20" i="6"/>
  <c r="D17" i="6" s="1"/>
  <c r="D13" i="6"/>
  <c r="D12" i="6"/>
  <c r="D11" i="6"/>
  <c r="D10" i="6"/>
  <c r="D9" i="6"/>
  <c r="D8" i="6"/>
  <c r="D7" i="6"/>
  <c r="B37" i="5"/>
  <c r="B13" i="5"/>
  <c r="B12" i="5"/>
  <c r="B11" i="5"/>
  <c r="B10" i="5"/>
  <c r="B9" i="5"/>
  <c r="B8" i="5"/>
  <c r="B7" i="5"/>
  <c r="F39" i="5"/>
  <c r="E39" i="5"/>
  <c r="D39" i="5"/>
  <c r="C39" i="5"/>
  <c r="G6" i="5"/>
  <c r="F6" i="5"/>
  <c r="E6" i="5"/>
  <c r="D6" i="5"/>
  <c r="C6" i="5"/>
  <c r="G36" i="5"/>
  <c r="F36" i="5"/>
  <c r="E36" i="5"/>
  <c r="D36" i="5"/>
  <c r="C36" i="5"/>
  <c r="G28" i="5"/>
  <c r="F28" i="5"/>
  <c r="E28" i="5"/>
  <c r="D28" i="5"/>
  <c r="C28" i="5"/>
  <c r="G20" i="5"/>
  <c r="F20" i="5"/>
  <c r="E20" i="5"/>
  <c r="D20" i="5"/>
  <c r="C20" i="5"/>
  <c r="D15" i="6" l="1"/>
  <c r="D30" i="6"/>
  <c r="D35" i="6"/>
  <c r="E102" i="8" s="1"/>
  <c r="F26" i="6"/>
  <c r="F30" i="6"/>
  <c r="F34" i="6"/>
  <c r="D16" i="6"/>
  <c r="D23" i="6"/>
  <c r="D31" i="6"/>
  <c r="F23" i="6"/>
  <c r="F27" i="6"/>
  <c r="F31" i="6"/>
  <c r="F35" i="6"/>
  <c r="F102" i="8" s="1"/>
  <c r="B17" i="5"/>
  <c r="B20" i="5"/>
  <c r="D18" i="6"/>
  <c r="D33" i="6"/>
  <c r="D14" i="6"/>
  <c r="D19" i="6"/>
  <c r="D29" i="6"/>
  <c r="D34" i="6"/>
  <c r="F29" i="6"/>
  <c r="B14" i="5"/>
  <c r="B18" i="5"/>
  <c r="D27" i="6"/>
  <c r="B27" i="5"/>
  <c r="D21" i="5"/>
  <c r="B15" i="5"/>
  <c r="B19" i="5"/>
  <c r="B21" i="6"/>
  <c r="D24" i="6"/>
  <c r="F16" i="6"/>
  <c r="H16" i="6"/>
  <c r="H24" i="6"/>
  <c r="H35" i="6"/>
  <c r="G102" i="8" s="1"/>
  <c r="B16" i="5"/>
  <c r="D25" i="6"/>
  <c r="E101" i="8" s="1"/>
  <c r="F19" i="6"/>
  <c r="H17" i="6"/>
  <c r="H26" i="6"/>
  <c r="H14" i="6"/>
  <c r="H18" i="6"/>
  <c r="H15" i="6"/>
  <c r="H29" i="6"/>
  <c r="F17" i="6"/>
  <c r="F14" i="6"/>
  <c r="B35" i="5"/>
  <c r="B30" i="5"/>
  <c r="B32" i="5"/>
  <c r="B29" i="5"/>
  <c r="B33" i="5"/>
  <c r="B34" i="5"/>
  <c r="B36" i="5"/>
  <c r="B31" i="5"/>
  <c r="B28" i="5"/>
  <c r="B24" i="5"/>
  <c r="B25" i="5"/>
  <c r="B26" i="5"/>
  <c r="B23" i="5"/>
  <c r="E21" i="5"/>
  <c r="F21" i="5"/>
  <c r="C21" i="5"/>
  <c r="G21" i="5"/>
  <c r="H29" i="3" l="1"/>
  <c r="H61" i="4"/>
  <c r="H59" i="4"/>
  <c r="H58" i="4"/>
  <c r="H57" i="4"/>
  <c r="H56" i="4"/>
  <c r="H55" i="4"/>
  <c r="H54" i="4"/>
  <c r="H50" i="4"/>
  <c r="H49" i="4"/>
  <c r="H48" i="4"/>
  <c r="H47" i="4"/>
  <c r="H46" i="4"/>
  <c r="H45" i="4"/>
  <c r="F61" i="4"/>
  <c r="F59" i="4"/>
  <c r="F58" i="4"/>
  <c r="F57" i="4"/>
  <c r="F56" i="4"/>
  <c r="F55" i="4"/>
  <c r="F54" i="4"/>
  <c r="G14" i="8" s="1"/>
  <c r="F50" i="4"/>
  <c r="F49" i="4"/>
  <c r="F48" i="4"/>
  <c r="F47" i="4"/>
  <c r="F51" i="4" s="1"/>
  <c r="F46" i="4"/>
  <c r="F45" i="4"/>
  <c r="D61" i="4"/>
  <c r="D59" i="4"/>
  <c r="D58" i="4"/>
  <c r="D57" i="4"/>
  <c r="D56" i="4"/>
  <c r="D55" i="4"/>
  <c r="D54" i="4"/>
  <c r="D50" i="4"/>
  <c r="D49" i="4"/>
  <c r="D48" i="4"/>
  <c r="D47" i="4"/>
  <c r="D46" i="4"/>
  <c r="D45" i="4"/>
  <c r="H43" i="4"/>
  <c r="H42" i="4"/>
  <c r="H39" i="4"/>
  <c r="F43" i="4"/>
  <c r="F42" i="4"/>
  <c r="F39" i="4"/>
  <c r="D43" i="4"/>
  <c r="D42" i="4"/>
  <c r="D41" i="4"/>
  <c r="F41" i="4" s="1"/>
  <c r="H41" i="4" s="1"/>
  <c r="D39" i="4"/>
  <c r="D38" i="4"/>
  <c r="F38" i="4" s="1"/>
  <c r="H38" i="4" s="1"/>
  <c r="H36" i="4"/>
  <c r="H33" i="4"/>
  <c r="F36" i="4"/>
  <c r="F33" i="4"/>
  <c r="D36" i="4"/>
  <c r="D33" i="4"/>
  <c r="H31" i="4"/>
  <c r="F31" i="4"/>
  <c r="D31" i="4"/>
  <c r="D28" i="4"/>
  <c r="H6" i="9" s="1"/>
  <c r="H8" i="9" s="1"/>
  <c r="H12" i="9" s="1"/>
  <c r="H28" i="9" s="1"/>
  <c r="D37" i="9" s="1"/>
  <c r="D39" i="9" s="1"/>
  <c r="H24" i="4"/>
  <c r="H23" i="4"/>
  <c r="H22" i="4"/>
  <c r="H21" i="4"/>
  <c r="H20" i="4"/>
  <c r="H19" i="4"/>
  <c r="H18" i="4"/>
  <c r="H16" i="4"/>
  <c r="H15" i="4"/>
  <c r="H14" i="4"/>
  <c r="H13" i="4"/>
  <c r="F24" i="4"/>
  <c r="F23" i="4"/>
  <c r="F22" i="4"/>
  <c r="F21" i="4"/>
  <c r="F20" i="4"/>
  <c r="F19" i="4"/>
  <c r="F18" i="4"/>
  <c r="F16" i="4"/>
  <c r="F15" i="4"/>
  <c r="F14" i="4"/>
  <c r="F13" i="4"/>
  <c r="D24" i="4"/>
  <c r="D23" i="4"/>
  <c r="D22" i="4"/>
  <c r="D21" i="4"/>
  <c r="D20" i="4"/>
  <c r="D19" i="4"/>
  <c r="D18" i="4"/>
  <c r="D16" i="4"/>
  <c r="D15" i="4"/>
  <c r="D14" i="4"/>
  <c r="D13" i="4"/>
  <c r="H6" i="4"/>
  <c r="F6" i="4"/>
  <c r="D6" i="4"/>
  <c r="B60" i="4"/>
  <c r="B62" i="4" s="1"/>
  <c r="F20" i="10" s="1"/>
  <c r="F48" i="10" s="1"/>
  <c r="B51" i="4"/>
  <c r="B37" i="4"/>
  <c r="B44" i="4" s="1"/>
  <c r="B25" i="4"/>
  <c r="B11" i="4"/>
  <c r="B61" i="1"/>
  <c r="B59" i="1"/>
  <c r="B58" i="1"/>
  <c r="B57" i="1"/>
  <c r="B56" i="1"/>
  <c r="B55" i="1"/>
  <c r="B54" i="1"/>
  <c r="B50" i="1"/>
  <c r="B49" i="1"/>
  <c r="B48" i="1"/>
  <c r="B47" i="1"/>
  <c r="B46" i="1"/>
  <c r="B45" i="1"/>
  <c r="B43" i="1"/>
  <c r="B39" i="1"/>
  <c r="B38" i="1"/>
  <c r="B41" i="1"/>
  <c r="B40" i="1"/>
  <c r="B35" i="1"/>
  <c r="B34" i="1"/>
  <c r="B32" i="1"/>
  <c r="B30" i="1"/>
  <c r="C37" i="1"/>
  <c r="C44" i="1" s="1"/>
  <c r="B36" i="1"/>
  <c r="B33" i="1"/>
  <c r="B31" i="1"/>
  <c r="B29" i="1"/>
  <c r="B12" i="1"/>
  <c r="B28" i="1"/>
  <c r="B24" i="1"/>
  <c r="B23" i="1"/>
  <c r="B22" i="1"/>
  <c r="B21" i="1"/>
  <c r="B20" i="1"/>
  <c r="B19" i="1"/>
  <c r="B18" i="1"/>
  <c r="B16" i="1"/>
  <c r="B15" i="1"/>
  <c r="B14" i="1"/>
  <c r="B13" i="1"/>
  <c r="B6" i="1"/>
  <c r="H31" i="3"/>
  <c r="H6" i="6" s="1"/>
  <c r="H21" i="6" s="1"/>
  <c r="F29" i="3"/>
  <c r="F31" i="3"/>
  <c r="F6" i="6" s="1"/>
  <c r="F21" i="6" s="1"/>
  <c r="D29" i="3"/>
  <c r="D31" i="3"/>
  <c r="D6" i="6" s="1"/>
  <c r="D21" i="6" s="1"/>
  <c r="B26" i="3"/>
  <c r="B8" i="3"/>
  <c r="B31" i="2"/>
  <c r="B29" i="2"/>
  <c r="G26" i="2"/>
  <c r="F26" i="2"/>
  <c r="E26" i="2"/>
  <c r="D26" i="2"/>
  <c r="C26" i="2"/>
  <c r="G8" i="2"/>
  <c r="G10" i="2" s="1"/>
  <c r="G14" i="2" s="1"/>
  <c r="F8" i="2"/>
  <c r="F10" i="2" s="1"/>
  <c r="F14" i="2" s="1"/>
  <c r="E8" i="2"/>
  <c r="E10" i="2" s="1"/>
  <c r="E14" i="2" s="1"/>
  <c r="D8" i="2"/>
  <c r="D10" i="2" s="1"/>
  <c r="D14" i="2" s="1"/>
  <c r="C8" i="2"/>
  <c r="C10" i="2" s="1"/>
  <c r="C14" i="2" s="1"/>
  <c r="G60" i="1"/>
  <c r="G62" i="1" s="1"/>
  <c r="F60" i="1"/>
  <c r="F62" i="1" s="1"/>
  <c r="E60" i="1"/>
  <c r="E62" i="1" s="1"/>
  <c r="D60" i="1"/>
  <c r="D62" i="1" s="1"/>
  <c r="C60" i="1"/>
  <c r="C62" i="1" s="1"/>
  <c r="G51" i="1"/>
  <c r="F51" i="1"/>
  <c r="E51" i="1"/>
  <c r="D51" i="1"/>
  <c r="C51" i="1"/>
  <c r="G37" i="1"/>
  <c r="G44" i="1" s="1"/>
  <c r="G52" i="1" s="1"/>
  <c r="F37" i="1"/>
  <c r="F44" i="1" s="1"/>
  <c r="F52" i="1" s="1"/>
  <c r="F63" i="1" s="1"/>
  <c r="E37" i="1"/>
  <c r="E44" i="1" s="1"/>
  <c r="D37" i="1"/>
  <c r="D44" i="1" s="1"/>
  <c r="D52" i="1" s="1"/>
  <c r="G25" i="1"/>
  <c r="F25" i="1"/>
  <c r="E25" i="1"/>
  <c r="D25" i="1"/>
  <c r="C25" i="1"/>
  <c r="G11" i="1"/>
  <c r="G17" i="1" s="1"/>
  <c r="F11" i="1"/>
  <c r="F17" i="1" s="1"/>
  <c r="E11" i="1"/>
  <c r="E17" i="1" s="1"/>
  <c r="E26" i="1" s="1"/>
  <c r="D11" i="1"/>
  <c r="D17" i="1" s="1"/>
  <c r="D26" i="1" s="1"/>
  <c r="C11" i="1"/>
  <c r="C17" i="1" s="1"/>
  <c r="B6" i="10" l="1"/>
  <c r="B35" i="10" s="1"/>
  <c r="C35" i="10" s="1"/>
  <c r="D8" i="3"/>
  <c r="C6" i="10" s="1"/>
  <c r="C8" i="10" s="1"/>
  <c r="D63" i="1"/>
  <c r="B10" i="3"/>
  <c r="B14" i="3" s="1"/>
  <c r="H31" i="9"/>
  <c r="D60" i="4"/>
  <c r="H32" i="9" s="1"/>
  <c r="I43" i="9" s="1"/>
  <c r="D9" i="4"/>
  <c r="E88" i="8"/>
  <c r="E45" i="8"/>
  <c r="E29" i="8"/>
  <c r="E6" i="8"/>
  <c r="E47" i="8"/>
  <c r="E27" i="8"/>
  <c r="E10" i="8"/>
  <c r="H25" i="4"/>
  <c r="B17" i="4"/>
  <c r="D25" i="4"/>
  <c r="D51" i="4"/>
  <c r="F14" i="8"/>
  <c r="E14" i="8"/>
  <c r="F53" i="8"/>
  <c r="F85" i="8"/>
  <c r="F77" i="8"/>
  <c r="F26" i="1"/>
  <c r="C52" i="1"/>
  <c r="C63" i="1" s="1"/>
  <c r="E53" i="8"/>
  <c r="E85" i="8"/>
  <c r="E77" i="8"/>
  <c r="G85" i="8"/>
  <c r="G53" i="8"/>
  <c r="G77" i="8"/>
  <c r="B27" i="3"/>
  <c r="B9" i="10" s="1"/>
  <c r="B38" i="10" s="1"/>
  <c r="C26" i="1"/>
  <c r="G26" i="1"/>
  <c r="E52" i="1"/>
  <c r="B7" i="1"/>
  <c r="D27" i="2"/>
  <c r="D30" i="2" s="1"/>
  <c r="B5" i="2"/>
  <c r="B5" i="1"/>
  <c r="B8" i="1"/>
  <c r="B6" i="2"/>
  <c r="B11" i="1"/>
  <c r="B9" i="1"/>
  <c r="B7" i="2"/>
  <c r="B10" i="1"/>
  <c r="D6" i="3"/>
  <c r="D15" i="3"/>
  <c r="D23" i="3"/>
  <c r="D27" i="3"/>
  <c r="F8" i="3"/>
  <c r="D6" i="10" s="1"/>
  <c r="D8" i="10" s="1"/>
  <c r="D7" i="3"/>
  <c r="D12" i="3"/>
  <c r="D32" i="4" s="1"/>
  <c r="D16" i="3"/>
  <c r="D20" i="3"/>
  <c r="D24" i="3"/>
  <c r="D7" i="4"/>
  <c r="D11" i="4"/>
  <c r="D5" i="3"/>
  <c r="D10" i="3"/>
  <c r="D13" i="3"/>
  <c r="D17" i="3"/>
  <c r="D21" i="3"/>
  <c r="D25" i="3"/>
  <c r="D5" i="4"/>
  <c r="D10" i="4"/>
  <c r="D11" i="3"/>
  <c r="D19" i="3"/>
  <c r="D8" i="4"/>
  <c r="D14" i="3"/>
  <c r="E9" i="8" s="1"/>
  <c r="D18" i="3"/>
  <c r="D22" i="3"/>
  <c r="D26" i="3"/>
  <c r="F25" i="4"/>
  <c r="H51" i="4"/>
  <c r="F60" i="4"/>
  <c r="H60" i="4"/>
  <c r="B52" i="4"/>
  <c r="B64" i="4" s="1"/>
  <c r="B26" i="4"/>
  <c r="B10" i="10" s="1"/>
  <c r="B10" i="2"/>
  <c r="B18" i="2"/>
  <c r="B22" i="2"/>
  <c r="B11" i="2"/>
  <c r="B15" i="2"/>
  <c r="B19" i="2"/>
  <c r="B23" i="2"/>
  <c r="B8" i="2"/>
  <c r="B12" i="2"/>
  <c r="B16" i="2"/>
  <c r="B20" i="2"/>
  <c r="B24" i="2"/>
  <c r="B14" i="2"/>
  <c r="C27" i="2"/>
  <c r="C30" i="2" s="1"/>
  <c r="B5" i="6" s="1"/>
  <c r="B22" i="6" s="1"/>
  <c r="B38" i="6" s="1"/>
  <c r="B41" i="6" s="1"/>
  <c r="G27" i="2"/>
  <c r="G30" i="2" s="1"/>
  <c r="B13" i="2"/>
  <c r="B17" i="2"/>
  <c r="B21" i="2"/>
  <c r="B25" i="2"/>
  <c r="F27" i="2"/>
  <c r="F30" i="2" s="1"/>
  <c r="B26" i="2"/>
  <c r="E27" i="2"/>
  <c r="E30" i="2" s="1"/>
  <c r="G63" i="1"/>
  <c r="E63" i="1"/>
  <c r="B39" i="10" l="1"/>
  <c r="B20" i="10"/>
  <c r="E20" i="8"/>
  <c r="D62" i="4"/>
  <c r="F48" i="11" s="1"/>
  <c r="F52" i="11" s="1"/>
  <c r="E86" i="8"/>
  <c r="H9" i="8"/>
  <c r="E58" i="8"/>
  <c r="D43" i="9"/>
  <c r="H33" i="9"/>
  <c r="D35" i="10"/>
  <c r="C37" i="10"/>
  <c r="B25" i="10"/>
  <c r="B53" i="10" s="1"/>
  <c r="F11" i="11"/>
  <c r="F24" i="11" s="1"/>
  <c r="H85" i="8"/>
  <c r="F62" i="4"/>
  <c r="F58" i="8"/>
  <c r="F86" i="8"/>
  <c r="I85" i="8" s="1"/>
  <c r="F20" i="8"/>
  <c r="F6" i="3"/>
  <c r="F45" i="8"/>
  <c r="F29" i="8"/>
  <c r="F27" i="8"/>
  <c r="F10" i="8"/>
  <c r="F47" i="8"/>
  <c r="F88" i="8"/>
  <c r="F6" i="8"/>
  <c r="B30" i="3"/>
  <c r="F23" i="11" s="1"/>
  <c r="F27" i="11" s="1"/>
  <c r="E89" i="8"/>
  <c r="E91" i="8" s="1"/>
  <c r="E70" i="8"/>
  <c r="E32" i="8"/>
  <c r="E17" i="8"/>
  <c r="E73" i="8"/>
  <c r="H62" i="4"/>
  <c r="G86" i="8"/>
  <c r="J85" i="8" s="1"/>
  <c r="G20" i="8"/>
  <c r="G58" i="8"/>
  <c r="F39" i="6"/>
  <c r="E82" i="8"/>
  <c r="E54" i="8"/>
  <c r="H53" i="8" s="1"/>
  <c r="E92" i="8"/>
  <c r="D9" i="3"/>
  <c r="E5" i="8"/>
  <c r="H5" i="8" s="1"/>
  <c r="E71" i="8"/>
  <c r="E74" i="8"/>
  <c r="F32" i="2"/>
  <c r="F5" i="5"/>
  <c r="F22" i="5" s="1"/>
  <c r="F38" i="5" s="1"/>
  <c r="F41" i="5" s="1"/>
  <c r="G32" i="2"/>
  <c r="G5" i="5"/>
  <c r="G22" i="5" s="1"/>
  <c r="G38" i="5" s="1"/>
  <c r="G41" i="5" s="1"/>
  <c r="D32" i="2"/>
  <c r="D5" i="5"/>
  <c r="D22" i="5" s="1"/>
  <c r="D38" i="5" s="1"/>
  <c r="D41" i="5" s="1"/>
  <c r="C32" i="2"/>
  <c r="C5" i="5"/>
  <c r="F16" i="3"/>
  <c r="F18" i="3"/>
  <c r="F12" i="3"/>
  <c r="F32" i="4" s="1"/>
  <c r="F14" i="3"/>
  <c r="F9" i="8" s="1"/>
  <c r="F26" i="3"/>
  <c r="F10" i="3"/>
  <c r="F20" i="3"/>
  <c r="F22" i="3"/>
  <c r="D29" i="4"/>
  <c r="D28" i="3"/>
  <c r="D30" i="3" s="1"/>
  <c r="D35" i="4"/>
  <c r="D34" i="4"/>
  <c r="D30" i="4"/>
  <c r="F24" i="3"/>
  <c r="F11" i="4"/>
  <c r="F10" i="4"/>
  <c r="F5" i="4"/>
  <c r="F23" i="3"/>
  <c r="F15" i="3"/>
  <c r="F7" i="3"/>
  <c r="F25" i="3"/>
  <c r="F17" i="3"/>
  <c r="F7" i="4"/>
  <c r="F21" i="3"/>
  <c r="F13" i="3"/>
  <c r="F5" i="3"/>
  <c r="F8" i="4"/>
  <c r="F27" i="3"/>
  <c r="F19" i="3"/>
  <c r="F11" i="3"/>
  <c r="F9" i="4"/>
  <c r="H8" i="3"/>
  <c r="E6" i="10" s="1"/>
  <c r="B27" i="2"/>
  <c r="I44" i="9" l="1"/>
  <c r="I45" i="9" s="1"/>
  <c r="D37" i="10"/>
  <c r="E35" i="10"/>
  <c r="B32" i="3"/>
  <c r="F6" i="10"/>
  <c r="F8" i="10" s="1"/>
  <c r="E8" i="10"/>
  <c r="B46" i="10"/>
  <c r="B48" i="10"/>
  <c r="F36" i="11"/>
  <c r="F49" i="11" s="1"/>
  <c r="F53" i="11" s="1"/>
  <c r="F28" i="11"/>
  <c r="I9" i="8"/>
  <c r="H88" i="8"/>
  <c r="H73" i="8"/>
  <c r="K85" i="8"/>
  <c r="F92" i="8"/>
  <c r="D40" i="4"/>
  <c r="E33" i="8"/>
  <c r="H32" i="8" s="1"/>
  <c r="E16" i="8"/>
  <c r="H16" i="8" s="1"/>
  <c r="F54" i="8"/>
  <c r="I53" i="8" s="1"/>
  <c r="F82" i="8"/>
  <c r="H39" i="6"/>
  <c r="E97" i="8"/>
  <c r="E95" i="8"/>
  <c r="F9" i="3"/>
  <c r="F5" i="8"/>
  <c r="I5" i="8" s="1"/>
  <c r="E98" i="8"/>
  <c r="E94" i="8"/>
  <c r="H70" i="8"/>
  <c r="G47" i="8"/>
  <c r="G88" i="8"/>
  <c r="G27" i="8"/>
  <c r="G6" i="8"/>
  <c r="G45" i="8"/>
  <c r="G29" i="8"/>
  <c r="G10" i="8"/>
  <c r="F70" i="8"/>
  <c r="F32" i="8"/>
  <c r="F17" i="8"/>
  <c r="F30" i="3"/>
  <c r="F5" i="6" s="1"/>
  <c r="F22" i="6" s="1"/>
  <c r="F73" i="8"/>
  <c r="D12" i="4"/>
  <c r="D17" i="4" s="1"/>
  <c r="H91" i="8"/>
  <c r="F89" i="8"/>
  <c r="F91" i="8" s="1"/>
  <c r="F74" i="8"/>
  <c r="F71" i="8"/>
  <c r="E32" i="2"/>
  <c r="E5" i="5"/>
  <c r="E22" i="5" s="1"/>
  <c r="E38" i="5" s="1"/>
  <c r="E41" i="5" s="1"/>
  <c r="C22" i="5"/>
  <c r="F12" i="4"/>
  <c r="F17" i="4" s="1"/>
  <c r="D37" i="4"/>
  <c r="H27" i="3"/>
  <c r="H7" i="4"/>
  <c r="H10" i="4"/>
  <c r="H8" i="4"/>
  <c r="H11" i="4"/>
  <c r="G89" i="8" s="1"/>
  <c r="G91" i="8" s="1"/>
  <c r="H9" i="4"/>
  <c r="H5" i="4"/>
  <c r="H12" i="3"/>
  <c r="H32" i="4" s="1"/>
  <c r="H5" i="3"/>
  <c r="H25" i="3"/>
  <c r="H18" i="3"/>
  <c r="H11" i="3"/>
  <c r="H26" i="3"/>
  <c r="H21" i="3"/>
  <c r="H7" i="3"/>
  <c r="H16" i="3"/>
  <c r="H13" i="3"/>
  <c r="H6" i="3"/>
  <c r="H22" i="3"/>
  <c r="H15" i="3"/>
  <c r="H20" i="3"/>
  <c r="H17" i="3"/>
  <c r="H10" i="3"/>
  <c r="H19" i="3"/>
  <c r="H24" i="3"/>
  <c r="H14" i="3"/>
  <c r="G9" i="8" s="1"/>
  <c r="H23" i="3"/>
  <c r="F28" i="3"/>
  <c r="F35" i="4"/>
  <c r="F34" i="4"/>
  <c r="F30" i="4"/>
  <c r="F35" i="10" l="1"/>
  <c r="F37" i="10" s="1"/>
  <c r="E37" i="10"/>
  <c r="D45" i="9"/>
  <c r="E48" i="9" s="1"/>
  <c r="E50" i="8"/>
  <c r="C9" i="10"/>
  <c r="E41" i="8"/>
  <c r="E44" i="8"/>
  <c r="H44" i="8" s="1"/>
  <c r="H9" i="3"/>
  <c r="H12" i="4" s="1"/>
  <c r="H17" i="4" s="1"/>
  <c r="G5" i="8"/>
  <c r="J5" i="8" s="1"/>
  <c r="K5" i="8" s="1"/>
  <c r="F26" i="4"/>
  <c r="F66" i="8"/>
  <c r="F79" i="8"/>
  <c r="H94" i="8"/>
  <c r="D26" i="4"/>
  <c r="E38" i="8" s="1"/>
  <c r="E79" i="8"/>
  <c r="E66" i="8"/>
  <c r="E57" i="8"/>
  <c r="H57" i="8" s="1"/>
  <c r="I91" i="8"/>
  <c r="G54" i="8"/>
  <c r="J53" i="8" s="1"/>
  <c r="G57" i="8" s="1"/>
  <c r="J57" i="8" s="1"/>
  <c r="G63" i="8" s="1"/>
  <c r="G82" i="8"/>
  <c r="F38" i="6"/>
  <c r="F100" i="8"/>
  <c r="I100" i="8" s="1"/>
  <c r="F76" i="8"/>
  <c r="I76" i="8" s="1"/>
  <c r="J9" i="8"/>
  <c r="K9" i="8" s="1"/>
  <c r="G92" i="8"/>
  <c r="J91" i="8" s="1"/>
  <c r="J88" i="8"/>
  <c r="G73" i="8"/>
  <c r="G70" i="8"/>
  <c r="G32" i="8"/>
  <c r="G17" i="8"/>
  <c r="H97" i="8"/>
  <c r="F40" i="4"/>
  <c r="F33" i="8"/>
  <c r="I32" i="8" s="1"/>
  <c r="D9" i="10" s="1"/>
  <c r="F16" i="8"/>
  <c r="I16" i="8" s="1"/>
  <c r="G74" i="8"/>
  <c r="G71" i="8"/>
  <c r="D44" i="4"/>
  <c r="I73" i="8"/>
  <c r="I70" i="8"/>
  <c r="F29" i="4"/>
  <c r="F98" i="8"/>
  <c r="F94" i="8"/>
  <c r="I88" i="8"/>
  <c r="C38" i="5"/>
  <c r="C41" i="5" s="1"/>
  <c r="D32" i="3"/>
  <c r="D5" i="6"/>
  <c r="D22" i="6" s="1"/>
  <c r="H35" i="4"/>
  <c r="H34" i="4"/>
  <c r="H30" i="4"/>
  <c r="F37" i="4"/>
  <c r="H28" i="3"/>
  <c r="H29" i="4" l="1"/>
  <c r="G97" i="8" s="1"/>
  <c r="H30" i="3"/>
  <c r="H5" i="6" s="1"/>
  <c r="H22" i="6" s="1"/>
  <c r="G33" i="8"/>
  <c r="J32" i="8"/>
  <c r="H9" i="10"/>
  <c r="C38" i="10"/>
  <c r="I9" i="10"/>
  <c r="D38" i="10"/>
  <c r="F44" i="4"/>
  <c r="F80" i="8" s="1"/>
  <c r="I79" i="8" s="1"/>
  <c r="J73" i="8"/>
  <c r="K73" i="8" s="1"/>
  <c r="K91" i="8"/>
  <c r="F57" i="8"/>
  <c r="I57" i="8" s="1"/>
  <c r="F63" i="8" s="1"/>
  <c r="K88" i="8"/>
  <c r="J70" i="8"/>
  <c r="K70" i="8" s="1"/>
  <c r="H38" i="6"/>
  <c r="H40" i="6" s="1"/>
  <c r="H41" i="6" s="1"/>
  <c r="G100" i="8"/>
  <c r="J100" i="8" s="1"/>
  <c r="G76" i="8"/>
  <c r="J76" i="8" s="1"/>
  <c r="H26" i="4"/>
  <c r="G38" i="8" s="1"/>
  <c r="G66" i="8"/>
  <c r="G79" i="8"/>
  <c r="F38" i="8"/>
  <c r="E76" i="8"/>
  <c r="H76" i="8" s="1"/>
  <c r="D38" i="6"/>
  <c r="E100" i="8"/>
  <c r="H100" i="8" s="1"/>
  <c r="G95" i="8"/>
  <c r="F97" i="8"/>
  <c r="I97" i="8" s="1"/>
  <c r="F95" i="8"/>
  <c r="I94" i="8" s="1"/>
  <c r="D52" i="4"/>
  <c r="E39" i="8" s="1"/>
  <c r="E80" i="8"/>
  <c r="H79" i="8" s="1"/>
  <c r="E67" i="8"/>
  <c r="H66" i="8" s="1"/>
  <c r="E83" i="8"/>
  <c r="H82" i="8" s="1"/>
  <c r="F41" i="8"/>
  <c r="F50" i="8"/>
  <c r="F44" i="8"/>
  <c r="I44" i="8" s="1"/>
  <c r="E63" i="8"/>
  <c r="K57" i="8"/>
  <c r="F40" i="6"/>
  <c r="F41" i="6" s="1"/>
  <c r="F30" i="8"/>
  <c r="I29" i="8" s="1"/>
  <c r="F23" i="8"/>
  <c r="E30" i="8"/>
  <c r="H29" i="8" s="1"/>
  <c r="E23" i="8"/>
  <c r="G94" i="8"/>
  <c r="G98" i="8"/>
  <c r="J97" i="8" s="1"/>
  <c r="H40" i="4"/>
  <c r="G16" i="8"/>
  <c r="J16" i="8" s="1"/>
  <c r="K16" i="8" s="1"/>
  <c r="E22" i="8"/>
  <c r="E19" i="8"/>
  <c r="H19" i="8" s="1"/>
  <c r="E13" i="8"/>
  <c r="H13" i="8" s="1"/>
  <c r="F61" i="11" s="1"/>
  <c r="F63" i="11" s="1"/>
  <c r="E51" i="8"/>
  <c r="H50" i="8" s="1"/>
  <c r="E26" i="8"/>
  <c r="H26" i="8" s="1"/>
  <c r="K53" i="8"/>
  <c r="E9" i="10"/>
  <c r="F32" i="3"/>
  <c r="H37" i="4"/>
  <c r="F83" i="8" l="1"/>
  <c r="I82" i="8" s="1"/>
  <c r="F52" i="4"/>
  <c r="F39" i="8" s="1"/>
  <c r="I38" i="8" s="1"/>
  <c r="D10" i="10" s="1"/>
  <c r="D39" i="10" s="1"/>
  <c r="C41" i="10"/>
  <c r="C43" i="10" s="1"/>
  <c r="F10" i="11"/>
  <c r="F14" i="11" s="1"/>
  <c r="F67" i="8"/>
  <c r="I66" i="8" s="1"/>
  <c r="E38" i="10"/>
  <c r="E41" i="10" s="1"/>
  <c r="J9" i="10"/>
  <c r="L9" i="10" s="1"/>
  <c r="F9" i="10" s="1"/>
  <c r="J94" i="8"/>
  <c r="K94" i="8" s="1"/>
  <c r="K97" i="8"/>
  <c r="K76" i="8"/>
  <c r="H44" i="4"/>
  <c r="G67" i="8" s="1"/>
  <c r="J66" i="8" s="1"/>
  <c r="H22" i="8"/>
  <c r="K100" i="8"/>
  <c r="F63" i="4"/>
  <c r="F64" i="4" s="1"/>
  <c r="G41" i="8"/>
  <c r="G44" i="8"/>
  <c r="J44" i="8" s="1"/>
  <c r="K44" i="8" s="1"/>
  <c r="G50" i="8"/>
  <c r="E61" i="8"/>
  <c r="D63" i="4"/>
  <c r="D64" i="4" s="1"/>
  <c r="H38" i="8"/>
  <c r="G30" i="8"/>
  <c r="J29" i="8" s="1"/>
  <c r="K29" i="8" s="1"/>
  <c r="K32" i="8"/>
  <c r="D40" i="6"/>
  <c r="D41" i="6" s="1"/>
  <c r="F26" i="8"/>
  <c r="I26" i="8" s="1"/>
  <c r="F19" i="8"/>
  <c r="I19" i="8" s="1"/>
  <c r="F13" i="8"/>
  <c r="I13" i="8" s="1"/>
  <c r="F51" i="8"/>
  <c r="I50" i="8" s="1"/>
  <c r="F61" i="8" s="1"/>
  <c r="F22" i="8"/>
  <c r="I22" i="8" s="1"/>
  <c r="G23" i="8"/>
  <c r="H32" i="3"/>
  <c r="K66" i="8" l="1"/>
  <c r="F39" i="11"/>
  <c r="F15" i="11"/>
  <c r="F40" i="11" s="1"/>
  <c r="F41" i="11" s="1"/>
  <c r="C10" i="10"/>
  <c r="C39" i="10" s="1"/>
  <c r="D41" i="10" s="1"/>
  <c r="D43" i="10" s="1"/>
  <c r="F35" i="11"/>
  <c r="E43" i="10"/>
  <c r="F38" i="10"/>
  <c r="H52" i="4"/>
  <c r="H63" i="4" s="1"/>
  <c r="H64" i="4" s="1"/>
  <c r="G80" i="8"/>
  <c r="J79" i="8" s="1"/>
  <c r="K79" i="8" s="1"/>
  <c r="G83" i="8"/>
  <c r="J82" i="8" s="1"/>
  <c r="K82" i="8" s="1"/>
  <c r="E48" i="8"/>
  <c r="H47" i="8" s="1"/>
  <c r="E42" i="8"/>
  <c r="H41" i="8" s="1"/>
  <c r="G19" i="8"/>
  <c r="J19" i="8" s="1"/>
  <c r="K19" i="8" s="1"/>
  <c r="G13" i="8"/>
  <c r="J13" i="8" s="1"/>
  <c r="K13" i="8" s="1"/>
  <c r="G51" i="8"/>
  <c r="J50" i="8" s="1"/>
  <c r="G22" i="8"/>
  <c r="J22" i="8" s="1"/>
  <c r="K22" i="8" s="1"/>
  <c r="G26" i="8"/>
  <c r="J26" i="8" s="1"/>
  <c r="K26" i="8" s="1"/>
  <c r="G39" i="8"/>
  <c r="J38" i="8" s="1"/>
  <c r="E10" i="10" s="1"/>
  <c r="D12" i="10" l="1"/>
  <c r="C12" i="10"/>
  <c r="C13" i="10" s="1"/>
  <c r="C15" i="10" s="1"/>
  <c r="E12" i="10"/>
  <c r="E39" i="10"/>
  <c r="F41" i="10" s="1"/>
  <c r="B45" i="10" s="1"/>
  <c r="B44" i="10"/>
  <c r="I11" i="10"/>
  <c r="D13" i="10"/>
  <c r="D15" i="10" s="1"/>
  <c r="G61" i="8"/>
  <c r="K50" i="8"/>
  <c r="G48" i="8"/>
  <c r="J47" i="8" s="1"/>
  <c r="G42" i="8"/>
  <c r="J41" i="8" s="1"/>
  <c r="G60" i="8" s="1"/>
  <c r="E60" i="8"/>
  <c r="H60" i="8" s="1"/>
  <c r="F48" i="8"/>
  <c r="I47" i="8" s="1"/>
  <c r="F42" i="8"/>
  <c r="I41" i="8" s="1"/>
  <c r="F60" i="8" s="1"/>
  <c r="I60" i="8" s="1"/>
  <c r="F64" i="8" s="1"/>
  <c r="I63" i="8" s="1"/>
  <c r="K38" i="8"/>
  <c r="H11" i="10" l="1"/>
  <c r="B47" i="10"/>
  <c r="B51" i="10" s="1"/>
  <c r="B55" i="10" s="1"/>
  <c r="J11" i="10"/>
  <c r="E13" i="10"/>
  <c r="E15" i="10" s="1"/>
  <c r="B16" i="10" s="1"/>
  <c r="J60" i="8"/>
  <c r="G64" i="8" s="1"/>
  <c r="J63" i="8" s="1"/>
  <c r="K47" i="8"/>
  <c r="E64" i="8"/>
  <c r="H63" i="8" s="1"/>
  <c r="K41" i="8"/>
  <c r="F16" i="11"/>
  <c r="L11" i="10" l="1"/>
  <c r="F10" i="10" s="1"/>
  <c r="F39" i="10" s="1"/>
  <c r="K63" i="8"/>
  <c r="K60" i="8"/>
  <c r="F12" i="10" l="1"/>
  <c r="F13" i="10" s="1"/>
  <c r="B17" i="10" s="1"/>
  <c r="B19" i="10" s="1"/>
  <c r="B23" i="10" s="1"/>
  <c r="B27" i="10" s="1"/>
</calcChain>
</file>

<file path=xl/comments1.xml><?xml version="1.0" encoding="utf-8"?>
<comments xmlns="http://schemas.openxmlformats.org/spreadsheetml/2006/main">
  <authors>
    <author>Authorized User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Authorized User:</t>
        </r>
        <r>
          <rPr>
            <sz val="9"/>
            <color indexed="81"/>
            <rFont val="Tahoma"/>
            <family val="2"/>
          </rPr>
          <t xml:space="preserve">
May have different growth rate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Authorized User:</t>
        </r>
        <r>
          <rPr>
            <sz val="9"/>
            <color indexed="81"/>
            <rFont val="Tahoma"/>
            <family val="2"/>
          </rPr>
          <t xml:space="preserve">
May have different growth rate</t>
        </r>
      </text>
    </comment>
  </commentList>
</comments>
</file>

<file path=xl/comments2.xml><?xml version="1.0" encoding="utf-8"?>
<comments xmlns="http://schemas.openxmlformats.org/spreadsheetml/2006/main">
  <authors>
    <author>Authorized User</author>
  </authors>
  <commentList>
    <comment ref="F15" authorId="0" shapeId="0">
      <text>
        <r>
          <rPr>
            <b/>
            <sz val="9"/>
            <color indexed="81"/>
            <rFont val="Tahoma"/>
            <family val="2"/>
          </rPr>
          <t>Blake:  Company</t>
        </r>
        <r>
          <rPr>
            <sz val="9"/>
            <color indexed="81"/>
            <rFont val="Tahoma"/>
            <family val="2"/>
          </rPr>
          <t xml:space="preserve"> has a negative NNO for 2015
</t>
        </r>
      </text>
    </comment>
  </commentList>
</comments>
</file>

<file path=xl/sharedStrings.xml><?xml version="1.0" encoding="utf-8"?>
<sst xmlns="http://schemas.openxmlformats.org/spreadsheetml/2006/main" count="901" uniqueCount="499">
  <si>
    <t>Bristol-Myers Squibb Co., Consolidated Statement of Financial Position, Assets</t>
  </si>
  <si>
    <t>USD $ in millions</t>
  </si>
  <si>
    <t>Cash and cash equivalents</t>
  </si>
  <si>
    <t>Marketable securities</t>
  </si>
  <si>
    <t>Net trade receivables</t>
  </si>
  <si>
    <t>Alliance partners receivables</t>
  </si>
  <si>
    <t>Prepaid and refundable income taxes</t>
  </si>
  <si>
    <t>Miscellaneous receivables</t>
  </si>
  <si>
    <t>Receivables</t>
  </si>
  <si>
    <t>Inventories</t>
  </si>
  <si>
    <t>Deferred income taxes</t>
  </si>
  <si>
    <t>Prepaid expenses and other</t>
  </si>
  <si>
    <t>Assets held-for-sale</t>
  </si>
  <si>
    <t>Adjustments</t>
  </si>
  <si>
    <t>Current assets</t>
  </si>
  <si>
    <t>Property, plant and equipment</t>
  </si>
  <si>
    <t>Goodwill</t>
  </si>
  <si>
    <t>Other intangible assets</t>
  </si>
  <si>
    <t>Other assets</t>
  </si>
  <si>
    <t>Adjustments in Non Current Assets</t>
  </si>
  <si>
    <t>Non-current assets</t>
  </si>
  <si>
    <t>Total assets</t>
  </si>
  <si>
    <t>Short-term borrowings</t>
  </si>
  <si>
    <t>Accounts payable</t>
  </si>
  <si>
    <t>Employee compensation and benefits</t>
  </si>
  <si>
    <t>Royalties</t>
  </si>
  <si>
    <t>Accrued research and development</t>
  </si>
  <si>
    <t>Restructuring, current</t>
  </si>
  <si>
    <t>Pension and postretirement benefits</t>
  </si>
  <si>
    <t>Litigation and other settlements</t>
  </si>
  <si>
    <t>Other</t>
  </si>
  <si>
    <t>Accrued expenses</t>
  </si>
  <si>
    <t>Deferred income</t>
  </si>
  <si>
    <t>Accrued rebates and returns</t>
  </si>
  <si>
    <t>Income taxes payable</t>
  </si>
  <si>
    <t>Dividends payable</t>
  </si>
  <si>
    <t>Liabilities related to assets held-for-sale</t>
  </si>
  <si>
    <t>Adjustments in Current Liabilities</t>
  </si>
  <si>
    <t>Current liabilities</t>
  </si>
  <si>
    <t>Pension, postretirement and postemployment liabilities</t>
  </si>
  <si>
    <t>Other liabilities</t>
  </si>
  <si>
    <t>Long-term debt</t>
  </si>
  <si>
    <t>Adjustments in Non Current Liabilities</t>
  </si>
  <si>
    <t>Non-current liabilities</t>
  </si>
  <si>
    <t>Total liabilities</t>
  </si>
  <si>
    <t>Preferred stock, $2 convertible series, par value $1 per share</t>
  </si>
  <si>
    <t>Common stock, par value of $0.10 per share</t>
  </si>
  <si>
    <t>Capital in excess of par value of stock</t>
  </si>
  <si>
    <t>Accumulated other comprehensive loss</t>
  </si>
  <si>
    <t>Retained earnings</t>
  </si>
  <si>
    <t>Cost of treasury stock</t>
  </si>
  <si>
    <t>Adjustments in Total Equity</t>
  </si>
  <si>
    <t>Total Bristol-Myers Squibb Company shareholders' equity</t>
  </si>
  <si>
    <t>Noncontrolling interest</t>
  </si>
  <si>
    <t>Total equity</t>
  </si>
  <si>
    <t>Total liabilities and equity</t>
  </si>
  <si>
    <t>Bristol-Myers Squibb Co., Consolidated Income Statement</t>
  </si>
  <si>
    <t>12 months ended</t>
  </si>
  <si>
    <t>Net product sales</t>
  </si>
  <si>
    <t>Alliance and other revenues</t>
  </si>
  <si>
    <t>Revenues</t>
  </si>
  <si>
    <t>Cost of products sold</t>
  </si>
  <si>
    <t>Gross margin</t>
  </si>
  <si>
    <t>Marketing, selling and administrative</t>
  </si>
  <si>
    <t>Research and development</t>
  </si>
  <si>
    <t>Impairment charge for BMS-986094 intangible asset</t>
  </si>
  <si>
    <t>Operating income</t>
  </si>
  <si>
    <t>Interest expense</t>
  </si>
  <si>
    <t>Interest income</t>
  </si>
  <si>
    <t>Provision for restructuring</t>
  </si>
  <si>
    <t>Equity in net income of affiliates</t>
  </si>
  <si>
    <t>Out-licensed intangible asset impairment</t>
  </si>
  <si>
    <t>–</t>
  </si>
  <si>
    <t>Gain on sale of businesses, product lines and assets</t>
  </si>
  <si>
    <t>Other alliance and licensing income</t>
  </si>
  <si>
    <t>Pension charges</t>
  </si>
  <si>
    <t>Loss on debt redemption</t>
  </si>
  <si>
    <t>Other income (expense)</t>
  </si>
  <si>
    <t>Earnings before income taxes</t>
  </si>
  <si>
    <t>(Provision for) benefit from income taxes</t>
  </si>
  <si>
    <t>Net earnings</t>
  </si>
  <si>
    <t>Net earnings attributable to noncontrolling interest</t>
  </si>
  <si>
    <t>Net earnings attributable to BMS</t>
  </si>
  <si>
    <t>Assumption</t>
  </si>
  <si>
    <t>Gross Margin - Revenues</t>
  </si>
  <si>
    <t>Plug</t>
  </si>
  <si>
    <t>Bristol-Myers Squibb Co., Consolidated Statement of Cash Flows</t>
  </si>
  <si>
    <t>Depreciation and amortization, net</t>
  </si>
  <si>
    <t>Stock-based compensation</t>
  </si>
  <si>
    <t>Impairment charges</t>
  </si>
  <si>
    <t>Pension settlements and amortization</t>
  </si>
  <si>
    <t>Proceeds from Amylin diabetes alliance</t>
  </si>
  <si>
    <t>Other adjustments</t>
  </si>
  <si>
    <t>Changes in operating assets and liabilities</t>
  </si>
  <si>
    <t>Adjustments to reconcile net earnings to net cash provided by operating activities</t>
  </si>
  <si>
    <t>Net cash provided by operating activities</t>
  </si>
  <si>
    <t>Sale and maturities of marketable securities</t>
  </si>
  <si>
    <t>Purchase of marketable securities</t>
  </si>
  <si>
    <t>Capital expenditures</t>
  </si>
  <si>
    <t>Divestiture and other proceeds</t>
  </si>
  <si>
    <t>Acquisition and other payments</t>
  </si>
  <si>
    <t>Net cash (used in) provided by investing activities</t>
  </si>
  <si>
    <t>Short-term borrowings, net</t>
  </si>
  <si>
    <t>Issuance of long-term debt</t>
  </si>
  <si>
    <t>Repayment of long-term debt</t>
  </si>
  <si>
    <t>Interest rate swap contract terminations</t>
  </si>
  <si>
    <t>Issuance of common stock</t>
  </si>
  <si>
    <t>Repurchase of common stock</t>
  </si>
  <si>
    <t>Dividends</t>
  </si>
  <si>
    <t>Net cash used in financing activities</t>
  </si>
  <si>
    <t>Effect of exchange rates on cash and cash equivalents</t>
  </si>
  <si>
    <t>Increase (decrease) in cash and cash equivalents</t>
  </si>
  <si>
    <t>Cash and cash equivalents at beginning of year</t>
  </si>
  <si>
    <t>Cash and cash equivalents at end of year</t>
  </si>
  <si>
    <t>Adjustements</t>
  </si>
  <si>
    <t>Income Statement</t>
  </si>
  <si>
    <t>Part II - Financial Analysis of Company's Past and Present</t>
  </si>
  <si>
    <t>csimarket.com</t>
  </si>
  <si>
    <t>BMY 3 years Average</t>
  </si>
  <si>
    <t>Industry</t>
  </si>
  <si>
    <t>Class Lecture / Textbook</t>
  </si>
  <si>
    <t>Competitor - Under Armour - Last 3 year average</t>
  </si>
  <si>
    <t>A.</t>
  </si>
  <si>
    <t>Gross Profit</t>
  </si>
  <si>
    <t>Gross Profit / Revenues</t>
  </si>
  <si>
    <t>Indicates the relationship between net sales revenue and the cost of goods sold.</t>
  </si>
  <si>
    <t>B.</t>
  </si>
  <si>
    <t>Operating Profit</t>
  </si>
  <si>
    <t>Net Income from Continuing Operations / Net Sales</t>
  </si>
  <si>
    <t>Net Income from Continuing Operations</t>
  </si>
  <si>
    <t>Measures the operating income generated by each dollar of sales</t>
  </si>
  <si>
    <t>Revenue</t>
  </si>
  <si>
    <t>C.</t>
  </si>
  <si>
    <t>Earnings per Share</t>
  </si>
  <si>
    <t>Net Income - Preferred Dividends / Weighted Average Number of Shares Outstanding</t>
  </si>
  <si>
    <t>Net Income - Preferred Dividends</t>
  </si>
  <si>
    <t>Measures net income earned on each share of common stock</t>
  </si>
  <si>
    <t>Weighted Average Number of Shares Outstanding (in thousands)</t>
  </si>
  <si>
    <t>D.</t>
  </si>
  <si>
    <t>Effective Tax Rate</t>
  </si>
  <si>
    <t>Income Tax Expense / Pretax Income</t>
  </si>
  <si>
    <t>Income Tax Expense</t>
  </si>
  <si>
    <t>Measurement of a company's tax rate, which is calculated by comparing its income tax expense to its pretax income.</t>
  </si>
  <si>
    <t>Pretax Income</t>
  </si>
  <si>
    <t>E.</t>
  </si>
  <si>
    <t>Return on Equity</t>
  </si>
  <si>
    <t>Net Income / Average Stockholders' Equity</t>
  </si>
  <si>
    <t>Net Income</t>
  </si>
  <si>
    <t>Measures profitability of owners' investments</t>
  </si>
  <si>
    <t>Average Stockholders' Equity</t>
  </si>
  <si>
    <t>F.</t>
  </si>
  <si>
    <t>Return on Assets</t>
  </si>
  <si>
    <t>Net Income / Average Total Assets</t>
  </si>
  <si>
    <t>Measures overall profitability of assets</t>
  </si>
  <si>
    <t>Average Total Assets</t>
  </si>
  <si>
    <t>G.</t>
  </si>
  <si>
    <t>Profitability and Productivity of ROA</t>
  </si>
  <si>
    <t>i. Profit Margin</t>
  </si>
  <si>
    <t>Net Income / Revenue</t>
  </si>
  <si>
    <t>Measures net income generated by each dollar of revenue</t>
  </si>
  <si>
    <t>ii. Asset Turnover</t>
  </si>
  <si>
    <t>Revenue / Average Total Assets</t>
  </si>
  <si>
    <t>Measures how efficiently assets are used to generate sales</t>
  </si>
  <si>
    <t>H.</t>
  </si>
  <si>
    <t>Net Operating Profit After Taxes (NOPAT)</t>
  </si>
  <si>
    <t>Income before income taxes - Tax on Operating Profit</t>
  </si>
  <si>
    <t>Income before income taxes</t>
  </si>
  <si>
    <t>Measure of profit that excludes the costs and tax benefits of debt financing.</t>
  </si>
  <si>
    <t>Tax on Operating Profit</t>
  </si>
  <si>
    <t>Tax on Operating Profit = Tax Expense + [Pretax Net Nonoperating Expense x Statutory Tax Rate]</t>
  </si>
  <si>
    <t>Assumed a Statutory Tax Rate of 37%</t>
  </si>
  <si>
    <t>I.</t>
  </si>
  <si>
    <t>Net Operating Assets (NOA)</t>
  </si>
  <si>
    <t>Operating Assets - Operating Liabilities</t>
  </si>
  <si>
    <t>Operating Assets</t>
  </si>
  <si>
    <t>Measures the operating assets of a business directly related to its operationing liabilities</t>
  </si>
  <si>
    <t>Operating Liabilities</t>
  </si>
  <si>
    <t>J.</t>
  </si>
  <si>
    <t>Return on Net Operating Assets (RNOA)</t>
  </si>
  <si>
    <t>NOPAT / Average NOA</t>
  </si>
  <si>
    <t>NOPAT</t>
  </si>
  <si>
    <t>Average NOA</t>
  </si>
  <si>
    <t>i. Net Operating Profit Margin (NOPM)</t>
  </si>
  <si>
    <t>NOPAT / Revenues</t>
  </si>
  <si>
    <t>Measures how much operating profit the company earns from each sales dollar.</t>
  </si>
  <si>
    <t xml:space="preserve"> Revenues</t>
  </si>
  <si>
    <t>ii. Net Operating Asset Turnover (NOAT)</t>
  </si>
  <si>
    <t>Revenues / Average NOA</t>
  </si>
  <si>
    <t>Measures the productivity of the company's net operating assets.</t>
  </si>
  <si>
    <t>K.</t>
  </si>
  <si>
    <t>Net Non-operating Expense (NNE)</t>
  </si>
  <si>
    <t>NOPAT - Consolidated Net Income</t>
  </si>
  <si>
    <t>Measures non-operating expenses and revenues, net of tax</t>
  </si>
  <si>
    <t>Consolidated Net Income</t>
  </si>
  <si>
    <t>L.</t>
  </si>
  <si>
    <t>Net Non-operating Obligations (NNO)</t>
  </si>
  <si>
    <t xml:space="preserve">Non-operating Liabilities - Non-operating Assets </t>
  </si>
  <si>
    <t>Non-operating Liabilities</t>
  </si>
  <si>
    <t>Measures the excess of interest-bearing debt over investments in non-operating assets.</t>
  </si>
  <si>
    <t xml:space="preserve">Non-operating Assets </t>
  </si>
  <si>
    <t>M.</t>
  </si>
  <si>
    <t>Financial Leverage (FLEV)</t>
  </si>
  <si>
    <t>Average NNO / Average Total Stockholders' Equity</t>
  </si>
  <si>
    <t>Average NNO</t>
  </si>
  <si>
    <t>The ratio of the nonoperating obligations to the average stockholders' equity</t>
  </si>
  <si>
    <t>Average Total  Stockholders' Equity</t>
  </si>
  <si>
    <t>N.</t>
  </si>
  <si>
    <t>Spread</t>
  </si>
  <si>
    <t>Return on net operating assets percent - net nonoperating expense percent</t>
  </si>
  <si>
    <t>RNOA</t>
  </si>
  <si>
    <t>The difference between the return on net operating assets and net nonoperating expense percent</t>
  </si>
  <si>
    <t>NNEP (NNE / Average NNO)</t>
  </si>
  <si>
    <t xml:space="preserve">O. </t>
  </si>
  <si>
    <t>Non-operating Return</t>
  </si>
  <si>
    <t>FLEV x Spread</t>
  </si>
  <si>
    <t>FLEV</t>
  </si>
  <si>
    <t>The product of the financial leverage and the Spread</t>
  </si>
  <si>
    <t>P.</t>
  </si>
  <si>
    <t>Working Capital</t>
  </si>
  <si>
    <t>Current Assets - Current Liabilities</t>
  </si>
  <si>
    <t>Current Assets</t>
  </si>
  <si>
    <t>The operating liquidity (or deficit) of the company to meet obligations</t>
  </si>
  <si>
    <t>Current Liabilities</t>
  </si>
  <si>
    <t xml:space="preserve">Q. </t>
  </si>
  <si>
    <t>Credit Risk Ratios</t>
  </si>
  <si>
    <t xml:space="preserve">i. Times Interest </t>
  </si>
  <si>
    <t>(Earnings before tax &amp; Interest expense) / Interest Expense</t>
  </si>
  <si>
    <t>Earnings before tax + Interest expense</t>
  </si>
  <si>
    <t>The operating income available to pay interest expense</t>
  </si>
  <si>
    <t>Interest Expense</t>
  </si>
  <si>
    <t>ii.  EBITDA coverage</t>
  </si>
  <si>
    <t>(Earnings before tax + Interest expense + Depreciation + Amortization) / Interest Expense</t>
  </si>
  <si>
    <t>Earnings before tax + Interest expense + Depreciation + Amortization</t>
  </si>
  <si>
    <t>N/A</t>
  </si>
  <si>
    <t>A non-GAAP calculation used to determine to demonstrate the company has more cash to cover fixed debt charges (since depreciation and amortization are non-cash items)</t>
  </si>
  <si>
    <t>iii.  Cash from Operations to Total Debt</t>
  </si>
  <si>
    <t>Cash from Operations / (Short-term debt + Long-term debt)</t>
  </si>
  <si>
    <t>Cash from Operations</t>
  </si>
  <si>
    <t>The company's ability to generate cash to make debt payments as they are due</t>
  </si>
  <si>
    <t>Short-term debt + Long-term Debt</t>
  </si>
  <si>
    <t>iv.  Current ratio</t>
  </si>
  <si>
    <t>Current assets / Current liabilties</t>
  </si>
  <si>
    <t>Current assets that can be turned into cash within one year to pay for current liabilities</t>
  </si>
  <si>
    <t>Current liabilties</t>
  </si>
  <si>
    <t>v.  Quick ratio</t>
  </si>
  <si>
    <t>(Cash + Marketable securities + Accounts receivable) / Current liabilties</t>
  </si>
  <si>
    <t>(Cash + Marketable securities + Accounts receivable)</t>
  </si>
  <si>
    <t>Current assets that can quickly be turned into cash to pay for current liabilities</t>
  </si>
  <si>
    <t>vi.  Debt to equity ratio</t>
  </si>
  <si>
    <t>(Total long-term debt including current portion + Short-term debt) / Stockholders' equity</t>
  </si>
  <si>
    <t>(Total long-term debt including current portion + Short-term debt)</t>
  </si>
  <si>
    <t>The ratio of the companies abilitity to repay debt with the equity of the company (assumes current liabitilies are paid by current operations)</t>
  </si>
  <si>
    <t>Stockholders' equity</t>
  </si>
  <si>
    <t>R.</t>
  </si>
  <si>
    <t>Accounts receivable turnover (ART)</t>
  </si>
  <si>
    <t>Revenue / Average Accounts Receivable (gross)</t>
  </si>
  <si>
    <t>The number of times per year the accounts receivable turns over</t>
  </si>
  <si>
    <t>Average Accounts receivable (gross)</t>
  </si>
  <si>
    <t>S.</t>
  </si>
  <si>
    <t>Average sales outstanding</t>
  </si>
  <si>
    <t>Accounts Receivable (gross) / Average daily sales</t>
  </si>
  <si>
    <t>Accounts receivable (gross)</t>
  </si>
  <si>
    <t>The number of times per year the accounts receivable is collected</t>
  </si>
  <si>
    <t>Average daily sales</t>
  </si>
  <si>
    <t>T.</t>
  </si>
  <si>
    <t>Accounts payable turnover (APT)</t>
  </si>
  <si>
    <t>Cost of Goods Sold / Average Accounts Payable</t>
  </si>
  <si>
    <t>Cost of Goods Sold</t>
  </si>
  <si>
    <t>The number of times per year the accounts payable turns over</t>
  </si>
  <si>
    <t>Average Accounts Payable</t>
  </si>
  <si>
    <t>U.</t>
  </si>
  <si>
    <t>A/P days outstanding</t>
  </si>
  <si>
    <t>Accounts Payable / Average Daily Cost of Goods Sold</t>
  </si>
  <si>
    <t>Accounts Payable</t>
  </si>
  <si>
    <t>Average number of days its takes the company to its outstanding accounts payable</t>
  </si>
  <si>
    <t>Average Daily Cost of Goods Sold</t>
  </si>
  <si>
    <t>V.</t>
  </si>
  <si>
    <t>Free cash flow (FCF)</t>
  </si>
  <si>
    <t>Cash Provided by Operations - Capital Expenditures - Cash Dividends</t>
  </si>
  <si>
    <t>Cash Provided by Operations</t>
  </si>
  <si>
    <t>Companies ability to repay debt from the cash flows after any capital expenditures and cash dividends</t>
  </si>
  <si>
    <t>Capital Expenditures</t>
  </si>
  <si>
    <t>Cash Dividends</t>
  </si>
  <si>
    <t>Part V.</t>
  </si>
  <si>
    <t>Financial Analysis of Company's Past and Present Performance</t>
  </si>
  <si>
    <t>1.</t>
  </si>
  <si>
    <t>a.</t>
  </si>
  <si>
    <t>Cost of debt capital using the After-Tax Cost of Debt model</t>
  </si>
  <si>
    <t>Interest expense forecast 2016</t>
  </si>
  <si>
    <t>Average total debt from 2015 and 2016</t>
  </si>
  <si>
    <t>Pre-tax borrowing rate</t>
  </si>
  <si>
    <t>Effective forecasted tax rate for 2016</t>
  </si>
  <si>
    <t>b.  Cost of equity capital using the CAPM model</t>
  </si>
  <si>
    <t>Re = Rf + [Beta x (Rm - Rf)]</t>
  </si>
  <si>
    <t>Rm = expected return</t>
  </si>
  <si>
    <t>Rf = Risk-Free Rate (10 year US Treasury Bill)</t>
  </si>
  <si>
    <t>c.  Weighted cost of capital</t>
  </si>
  <si>
    <t>Rw = (Rd x IV Debt/IV Firm) + (Re x (IV Equity / IV Firm)</t>
  </si>
  <si>
    <t>Rd = Cost of Debt</t>
  </si>
  <si>
    <t>Re = Cost of Equity from CAPM model above</t>
  </si>
  <si>
    <t>IV Debt = Intrinsic value of company debt</t>
  </si>
  <si>
    <t>IV Equity = Intrinsic value of company equity</t>
  </si>
  <si>
    <t>IV Firm = IV Debt + IV Equity</t>
  </si>
  <si>
    <t>After tax cost of debt capital</t>
  </si>
  <si>
    <t>Cost of equity capital</t>
  </si>
  <si>
    <t>= Pre-tax cost of debt x (1 - marginal tax rate)</t>
  </si>
  <si>
    <t>=Risk Free rate + Beta x Market Risk Premium</t>
  </si>
  <si>
    <t>Pre Tax cost of debt capital</t>
  </si>
  <si>
    <t>Risk Free Rate</t>
  </si>
  <si>
    <t>Marginal inc tax rate</t>
  </si>
  <si>
    <t>Beta</t>
  </si>
  <si>
    <t>Market Risk Premium</t>
  </si>
  <si>
    <t>Market Value of Debt</t>
  </si>
  <si>
    <t>Market value of equity</t>
  </si>
  <si>
    <t>Debt plus equity</t>
  </si>
  <si>
    <t>Proportion debt to total cap</t>
  </si>
  <si>
    <t>Proportion to equity to total cap</t>
  </si>
  <si>
    <t>Weighted Average Cost of Capital</t>
  </si>
  <si>
    <t>Source:</t>
  </si>
  <si>
    <t>http://in.reuters.com/finance/stocks/overview?symbol=BMY.N</t>
  </si>
  <si>
    <t>Beta = Beta Risk (used from Reuters 3-17-16)</t>
  </si>
  <si>
    <t>http://www.gurufocus.com/term/wacc/BMY/Weighted%2BAverage%2BCost%2BOf%2BCapital%2B%2528WACC%2529/Bristol-Myers%2BSquibb%2BCompany</t>
  </si>
  <si>
    <t xml:space="preserve">Market Rate of Return (Rm) </t>
  </si>
  <si>
    <t>Calculation  .012 x (1 - .3) = .035</t>
  </si>
  <si>
    <t>Discounted Cash Flow Model</t>
  </si>
  <si>
    <t>Reported Year</t>
  </si>
  <si>
    <t>Horizon Perod</t>
  </si>
  <si>
    <t>Terminal Period</t>
  </si>
  <si>
    <t>Rate</t>
  </si>
  <si>
    <t>Sales (Unrounded)</t>
  </si>
  <si>
    <t>Sales (Rounded)</t>
  </si>
  <si>
    <t>Change In NOPAT</t>
  </si>
  <si>
    <t>Average</t>
  </si>
  <si>
    <t xml:space="preserve">NOA </t>
  </si>
  <si>
    <t>Change In NOA</t>
  </si>
  <si>
    <t>Increase in NOA</t>
  </si>
  <si>
    <t>FCFF (NOPAT - Increase in NOA)</t>
  </si>
  <si>
    <t>Discount Factor</t>
  </si>
  <si>
    <t>PV value of Horizon FCFF</t>
  </si>
  <si>
    <t>Cumulative PV of Horizon FCFF</t>
  </si>
  <si>
    <t>PV value of Terminal FCFF</t>
  </si>
  <si>
    <t>Total Firm Value</t>
  </si>
  <si>
    <t>Less (Plus): NNO</t>
  </si>
  <si>
    <t>Total Shareholder Equity</t>
  </si>
  <si>
    <t>from 2015 Forecasted Balance Sheet</t>
  </si>
  <si>
    <t>Less:  NCI</t>
  </si>
  <si>
    <t>Firm Equity Value</t>
  </si>
  <si>
    <t>Shares Outstanding</t>
  </si>
  <si>
    <t>Stock value per share</t>
  </si>
  <si>
    <t>DCF Model does not equal ROPI Model</t>
  </si>
  <si>
    <t>Residual Operating Income Model</t>
  </si>
  <si>
    <t>ROPI (NOPAT - (NOA beg x R x)</t>
  </si>
  <si>
    <t>PV value of Horizon ROPI</t>
  </si>
  <si>
    <t>NOA</t>
  </si>
  <si>
    <t>Company Assumed Value = Equity plus Debt less Cash</t>
  </si>
  <si>
    <t>Equity Assumed Value = Share x Mkt Price</t>
  </si>
  <si>
    <t>NOPAT Multiple</t>
  </si>
  <si>
    <t>2016 Forecast</t>
  </si>
  <si>
    <t>2015 10-K</t>
  </si>
  <si>
    <t xml:space="preserve">Company Assumed Value </t>
  </si>
  <si>
    <t>Net operating profit after tax</t>
  </si>
  <si>
    <t>Company Shares Outstanding</t>
  </si>
  <si>
    <t>NOPAT market multiple</t>
  </si>
  <si>
    <t>Company Intrinsic Value</t>
  </si>
  <si>
    <t>Equity Intrinsic Value (Company IV less NNO)</t>
  </si>
  <si>
    <t>Equity Intrinsic Value per Share</t>
  </si>
  <si>
    <t>b.</t>
  </si>
  <si>
    <t>Net Income Multiple</t>
  </si>
  <si>
    <t>Source:  Yahoo Finance for Share Price</t>
  </si>
  <si>
    <t>Equity assumed value</t>
  </si>
  <si>
    <t>Net Income market multiple</t>
  </si>
  <si>
    <t xml:space="preserve">Equity Intrinsic Value  </t>
  </si>
  <si>
    <t>c.</t>
  </si>
  <si>
    <t>Net Operating Assets Multiple</t>
  </si>
  <si>
    <t>Company assumed value</t>
  </si>
  <si>
    <t>Net Operating Assets</t>
  </si>
  <si>
    <t>NOA Multiple</t>
  </si>
  <si>
    <t>d.</t>
  </si>
  <si>
    <t>Book Value Multiple</t>
  </si>
  <si>
    <t>Book Value of Equity</t>
  </si>
  <si>
    <t>BV market multiple</t>
  </si>
  <si>
    <t>Equity intrinsic value</t>
  </si>
  <si>
    <t>3. B) Price per Earnings Ratio</t>
  </si>
  <si>
    <t>Stock Price / Earnings per Share</t>
  </si>
  <si>
    <t>Price per Earnings Ratio</t>
  </si>
  <si>
    <t>Sales to customers — U.S. </t>
  </si>
  <si>
    <t>Sales to customers — International</t>
  </si>
  <si>
    <t>Total sales</t>
  </si>
  <si>
    <t>Selling, marketing and administrative expenses</t>
  </si>
  <si>
    <t>Research and development expense</t>
  </si>
  <si>
    <t>In-process research and development</t>
  </si>
  <si>
    <t>Interest expense, net of portion capitalized</t>
  </si>
  <si>
    <t>Other (income) expense, net</t>
  </si>
  <si>
    <t>Restructuring</t>
  </si>
  <si>
    <t>Earnings before provision for taxes on income</t>
  </si>
  <si>
    <t>Provision for taxes on income</t>
  </si>
  <si>
    <t>Operating expense</t>
  </si>
  <si>
    <t>Income before tax</t>
  </si>
  <si>
    <t>Income tax</t>
  </si>
  <si>
    <t>Interest exp benefit (20%)</t>
  </si>
  <si>
    <t>Other exp benefit (20%)</t>
  </si>
  <si>
    <t>A.  NOPAT Model</t>
  </si>
  <si>
    <t>12 Months Ended</t>
  </si>
  <si>
    <t>Dec. 31, 2015</t>
  </si>
  <si>
    <t>Consolidated Statements of Income - USD ($) in Million</t>
  </si>
  <si>
    <t>B.  Net Income Multiple</t>
  </si>
  <si>
    <t/>
  </si>
  <si>
    <t>Assets</t>
  </si>
  <si>
    <t>Cash and cash equivalents (Notes 1 and 2)</t>
  </si>
  <si>
    <t>Marketable securities (Notes 1 and 2)</t>
  </si>
  <si>
    <t>Accounts receivable trade, less allowances for doubtful</t>
  </si>
  <si>
    <t>accounts $268 (2014, $275)</t>
  </si>
  <si>
    <t>Inventories (Notes 1 and 3)</t>
  </si>
  <si>
    <t>Prepaid expenses and other receivables</t>
  </si>
  <si>
    <t>Total current assets</t>
  </si>
  <si>
    <t>Property, plant and equipment, net (Notes 1 and 4)</t>
  </si>
  <si>
    <t>Intangible assets, net (Notes 1 and 5)</t>
  </si>
  <si>
    <t>Goodwill (Notes 1 and 5)</t>
  </si>
  <si>
    <t>Deferred taxes on income (Note 1 and 8)</t>
  </si>
  <si>
    <t>Liabilities and Shareholders' Equity</t>
  </si>
  <si>
    <t>Loans and notes payable (Note 7)</t>
  </si>
  <si>
    <t>Accrued liabilities</t>
  </si>
  <si>
    <t>Accrued rebates, returns and promotions</t>
  </si>
  <si>
    <t>Accrued compensation and employee related obligations</t>
  </si>
  <si>
    <t>Accrued taxes on income (Note 8)</t>
  </si>
  <si>
    <t>Total current liabilities</t>
  </si>
  <si>
    <t>Long-term debt (Note 7)</t>
  </si>
  <si>
    <t>Deferred taxes on income (Note 1 &amp; 8)</t>
  </si>
  <si>
    <t>Employee related obligations (Notes 9 and 10)</t>
  </si>
  <si>
    <t>Shareholders' equity</t>
  </si>
  <si>
    <t>Preferred stock - without par value (authorized and</t>
  </si>
  <si>
    <t>unissued 2,000,000 shares)</t>
  </si>
  <si>
    <t>Common stock - par value $1.00 per share (Note 12)</t>
  </si>
  <si>
    <t>(authorized 4,320,000,000 shares; issued</t>
  </si>
  <si>
    <t>3,119,843,000 shares)</t>
  </si>
  <si>
    <t>Accumulated other comprehensive income (Note 13)</t>
  </si>
  <si>
    <t>Less: common stock held in treasury, at cost (Note 12)</t>
  </si>
  <si>
    <t>(364,681,000 shares and 336,620,000 shares)</t>
  </si>
  <si>
    <t>Total shareholders' equity</t>
  </si>
  <si>
    <t>Total liabilities and shareholders' equity</t>
  </si>
  <si>
    <t>Consolidated Balance Sheets - USD ($) $ in Million</t>
  </si>
  <si>
    <t>C.  NOA Multiple</t>
  </si>
  <si>
    <t>Shares from  10k (in million)</t>
  </si>
  <si>
    <t>Cost of revenue</t>
  </si>
  <si>
    <t>Gross profit</t>
  </si>
  <si>
    <t>Operating expenses</t>
  </si>
  <si>
    <t>Sales, General and administrative</t>
  </si>
  <si>
    <t>Restructuring, merger and acquisition</t>
  </si>
  <si>
    <t>Other operating expenses</t>
  </si>
  <si>
    <t>Total operating expenses</t>
  </si>
  <si>
    <t>Income before taxes</t>
  </si>
  <si>
    <t>Provision for income taxes</t>
  </si>
  <si>
    <t>Other income</t>
  </si>
  <si>
    <t>Net income from continuing operations</t>
  </si>
  <si>
    <t>Net income from discontinuing ops</t>
  </si>
  <si>
    <t>Net income</t>
  </si>
  <si>
    <t>Interest exp benefit (22%)</t>
  </si>
  <si>
    <t>Other exp benefit (22%)</t>
  </si>
  <si>
    <t>Cash</t>
  </si>
  <si>
    <t>Short-term investments</t>
  </si>
  <si>
    <t>Total cash</t>
  </si>
  <si>
    <t>Other current assets</t>
  </si>
  <si>
    <t>Gross property, plant and equipment</t>
  </si>
  <si>
    <t>Accumulated Depreciation</t>
  </si>
  <si>
    <t>Net property, plant and equipment</t>
  </si>
  <si>
    <t>Equity and other investments</t>
  </si>
  <si>
    <t>Intangible assets</t>
  </si>
  <si>
    <t>Other long-term assets</t>
  </si>
  <si>
    <t>Total non-current assets</t>
  </si>
  <si>
    <t>Liabilities and stockholders' equity</t>
  </si>
  <si>
    <t>Liabilities</t>
  </si>
  <si>
    <t>Short-term debt</t>
  </si>
  <si>
    <t>Taxes payable</t>
  </si>
  <si>
    <t>Other current liabilities</t>
  </si>
  <si>
    <t>Deferred taxes liabilities</t>
  </si>
  <si>
    <t>Pensions and other benefits</t>
  </si>
  <si>
    <t>Minority interest</t>
  </si>
  <si>
    <t>Other long-term liabilities</t>
  </si>
  <si>
    <t>Total non-current liabilities</t>
  </si>
  <si>
    <t>Preferred stock</t>
  </si>
  <si>
    <t>Common stock</t>
  </si>
  <si>
    <t>Additional paid-in capital</t>
  </si>
  <si>
    <t>Treasury stock</t>
  </si>
  <si>
    <t>Accumulated other comprehensive income</t>
  </si>
  <si>
    <t>Total stockholders' equity</t>
  </si>
  <si>
    <t>Total liabilities and stockholders' equity</t>
  </si>
  <si>
    <t xml:space="preserve">Consolidated Balance Sheets - USD ($) $ in Million </t>
  </si>
  <si>
    <t>Shares from 10-K</t>
  </si>
  <si>
    <t>3. A) Company and Equity Intrinsic Value</t>
  </si>
  <si>
    <t>BMY</t>
  </si>
  <si>
    <t>Johnson&amp;Johnson</t>
  </si>
  <si>
    <t>Pfizer</t>
  </si>
  <si>
    <t>Share Price 3/18/17</t>
  </si>
  <si>
    <t>Source:  Morning Star for Share Price</t>
  </si>
  <si>
    <t>Net  Operating Assets</t>
  </si>
  <si>
    <t>10 Year Treasury Rate:  2.53% for Mar 16 2017</t>
  </si>
  <si>
    <t>https://ycharts.com/indicators/10_year_treasury_rate</t>
  </si>
  <si>
    <t>Re = .0253 + [1.08 x (.1001-0.253)]</t>
  </si>
  <si>
    <t>from 2015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</si>
</sst>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[$-409]mmm\ d\,\ yyyy"/>
    <numFmt numFmtId="166" formatCode="[$-409]mmm&quot; &quot;d&quot;, &quot;yyyy"/>
    <numFmt numFmtId="167" formatCode="[$-409]#,##0"/>
    <numFmt numFmtId="168" formatCode="_ * #,##0_ ;_ * \-#,##0_ ;_ * &quot;-&quot;??_ ;_ @_ "/>
    <numFmt numFmtId="169" formatCode="_(&quot;$&quot;* #,##0_);_(&quot;$&quot;* \(#,##0\);_(&quot;$&quot;* &quot;-&quot;??_);_(@_)"/>
    <numFmt numFmtId="170" formatCode="0.0%"/>
    <numFmt numFmtId="171" formatCode="_(* #,##0.0_);_(* \(#,##0.0\);_(* &quot;-&quot;??_);_(@_)"/>
    <numFmt numFmtId="172" formatCode="0.0"/>
    <numFmt numFmtId="173" formatCode="_(&quot;$&quot;* #,##0.0_);_(&quot;$&quot;* \(#,##0.0\);_(&quot;$&quot;* &quot;-&quot;??_);_(@_)"/>
    <numFmt numFmtId="174" formatCode="_(* #,##0_);_(* \(#,##0\);_(* &quot;-&quot;??_);_(@_)"/>
    <numFmt numFmtId="175" formatCode="_(* #,##0.0000_);_(* \(#,##0.0000\);_(* &quot;-&quot;??_);_(@_)"/>
    <numFmt numFmtId="176" formatCode="_(* #,##0.00000_);_(* \(#,##0.00000\);_(* &quot;-&quot;??_);_(@_)"/>
    <numFmt numFmtId="177" formatCode="_(&quot;$ &quot;#,##0_);_(&quot;$ &quot;\(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606631"/>
      <name val="Tahoma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69">
    <xf numFmtId="0" fontId="0" fillId="0" borderId="0" xfId="0"/>
    <xf numFmtId="0" fontId="3" fillId="0" borderId="0" xfId="3" applyFont="1" applyAlignment="1"/>
    <xf numFmtId="0" fontId="2" fillId="0" borderId="0" xfId="3" applyAlignment="1"/>
    <xf numFmtId="0" fontId="0" fillId="0" borderId="0" xfId="0" applyAlignment="1"/>
    <xf numFmtId="165" fontId="4" fillId="0" borderId="1" xfId="3" applyNumberFormat="1" applyFont="1" applyBorder="1" applyAlignment="1">
      <alignment horizontal="center" vertical="center"/>
    </xf>
    <xf numFmtId="0" fontId="5" fillId="0" borderId="0" xfId="3" applyFont="1" applyAlignment="1">
      <alignment horizontal="left"/>
    </xf>
    <xf numFmtId="3" fontId="5" fillId="0" borderId="0" xfId="3" applyNumberFormat="1" applyFont="1" applyAlignment="1">
      <alignment horizontal="right"/>
    </xf>
    <xf numFmtId="0" fontId="4" fillId="0" borderId="0" xfId="3" applyFont="1" applyAlignment="1">
      <alignment horizontal="left"/>
    </xf>
    <xf numFmtId="3" fontId="4" fillId="0" borderId="2" xfId="3" applyNumberFormat="1" applyFont="1" applyBorder="1" applyAlignment="1">
      <alignment horizontal="right"/>
    </xf>
    <xf numFmtId="0" fontId="5" fillId="0" borderId="0" xfId="3" applyFont="1" applyAlignment="1">
      <alignment horizontal="left" wrapText="1"/>
    </xf>
    <xf numFmtId="0" fontId="4" fillId="0" borderId="0" xfId="3" applyFont="1" applyAlignment="1">
      <alignment horizontal="left" wrapText="1"/>
    </xf>
    <xf numFmtId="0" fontId="3" fillId="0" borderId="0" xfId="4" applyFont="1" applyAlignment="1"/>
    <xf numFmtId="0" fontId="5" fillId="0" borderId="0" xfId="4" applyAlignment="1"/>
    <xf numFmtId="0" fontId="4" fillId="0" borderId="0" xfId="4" applyFont="1" applyAlignment="1">
      <alignment horizontal="right"/>
    </xf>
    <xf numFmtId="166" fontId="4" fillId="0" borderId="3" xfId="4" applyNumberFormat="1" applyFont="1" applyBorder="1" applyAlignment="1">
      <alignment horizontal="center"/>
    </xf>
    <xf numFmtId="0" fontId="5" fillId="0" borderId="0" xfId="4" applyFont="1" applyAlignment="1">
      <alignment horizontal="left"/>
    </xf>
    <xf numFmtId="167" fontId="5" fillId="0" borderId="0" xfId="4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0" fontId="4" fillId="0" borderId="0" xfId="4" applyFont="1" applyAlignment="1">
      <alignment horizontal="left"/>
    </xf>
    <xf numFmtId="167" fontId="4" fillId="0" borderId="4" xfId="4" applyNumberFormat="1" applyFont="1" applyBorder="1" applyAlignment="1">
      <alignment horizontal="right"/>
    </xf>
    <xf numFmtId="10" fontId="4" fillId="0" borderId="0" xfId="2" applyNumberFormat="1" applyFont="1" applyAlignment="1">
      <alignment horizontal="left"/>
    </xf>
    <xf numFmtId="9" fontId="5" fillId="0" borderId="0" xfId="4" applyNumberFormat="1" applyFont="1" applyAlignment="1">
      <alignment horizontal="left"/>
    </xf>
    <xf numFmtId="10" fontId="0" fillId="0" borderId="0" xfId="2" applyNumberFormat="1" applyFont="1"/>
    <xf numFmtId="2" fontId="0" fillId="0" borderId="0" xfId="2" applyNumberFormat="1" applyFont="1"/>
    <xf numFmtId="168" fontId="0" fillId="0" borderId="0" xfId="1" applyNumberFormat="1" applyFont="1"/>
    <xf numFmtId="15" fontId="4" fillId="0" borderId="3" xfId="1" applyNumberFormat="1" applyFont="1" applyBorder="1" applyAlignment="1">
      <alignment horizontal="center"/>
    </xf>
    <xf numFmtId="10" fontId="5" fillId="0" borderId="0" xfId="2" applyNumberFormat="1" applyFont="1" applyAlignment="1">
      <alignment horizontal="left"/>
    </xf>
    <xf numFmtId="3" fontId="5" fillId="0" borderId="0" xfId="3" applyNumberFormat="1" applyFont="1" applyAlignment="1">
      <alignment horizontal="left" wrapText="1"/>
    </xf>
    <xf numFmtId="2" fontId="0" fillId="0" borderId="0" xfId="0" applyNumberFormat="1"/>
    <xf numFmtId="2" fontId="4" fillId="0" borderId="0" xfId="2" applyNumberFormat="1" applyFont="1" applyAlignment="1">
      <alignment horizontal="left"/>
    </xf>
    <xf numFmtId="2" fontId="5" fillId="0" borderId="0" xfId="4" applyNumberFormat="1" applyFont="1" applyAlignment="1">
      <alignment horizontal="left"/>
    </xf>
    <xf numFmtId="2" fontId="4" fillId="0" borderId="0" xfId="4" applyNumberFormat="1" applyFont="1" applyAlignment="1">
      <alignment horizontal="left"/>
    </xf>
    <xf numFmtId="168" fontId="4" fillId="0" borderId="2" xfId="1" applyNumberFormat="1" applyFont="1" applyBorder="1" applyAlignment="1">
      <alignment horizontal="right"/>
    </xf>
    <xf numFmtId="168" fontId="0" fillId="0" borderId="0" xfId="1" applyNumberFormat="1" applyFont="1" applyAlignment="1"/>
    <xf numFmtId="2" fontId="0" fillId="0" borderId="0" xfId="0" applyNumberFormat="1" applyAlignment="1"/>
    <xf numFmtId="0" fontId="4" fillId="0" borderId="1" xfId="3" applyFont="1" applyBorder="1" applyAlignment="1">
      <alignment horizontal="right" vertical="center"/>
    </xf>
    <xf numFmtId="3" fontId="4" fillId="0" borderId="0" xfId="3" applyNumberFormat="1" applyFont="1" applyAlignment="1">
      <alignment horizontal="left"/>
    </xf>
    <xf numFmtId="3" fontId="5" fillId="0" borderId="0" xfId="3" applyNumberFormat="1" applyFont="1" applyAlignment="1">
      <alignment horizontal="left"/>
    </xf>
    <xf numFmtId="3" fontId="0" fillId="0" borderId="0" xfId="0" applyNumberFormat="1"/>
    <xf numFmtId="168" fontId="2" fillId="0" borderId="0" xfId="1" applyNumberFormat="1" applyFont="1" applyAlignment="1"/>
    <xf numFmtId="168" fontId="5" fillId="0" borderId="0" xfId="1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8" fillId="0" borderId="0" xfId="4" applyFont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170" fontId="7" fillId="0" borderId="5" xfId="5" applyNumberFormat="1" applyFont="1" applyFill="1" applyBorder="1" applyAlignment="1">
      <alignment horizontal="center" vertical="center"/>
    </xf>
    <xf numFmtId="170" fontId="7" fillId="3" borderId="5" xfId="5" applyNumberFormat="1" applyFont="1" applyFill="1" applyBorder="1" applyAlignment="1">
      <alignment horizontal="center" vertical="center"/>
    </xf>
    <xf numFmtId="170" fontId="7" fillId="2" borderId="5" xfId="5" applyNumberFormat="1" applyFont="1" applyFill="1" applyBorder="1" applyAlignment="1">
      <alignment horizontal="center" vertical="center"/>
    </xf>
    <xf numFmtId="0" fontId="8" fillId="0" borderId="0" xfId="4" applyFont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vertical="center" wrapText="1"/>
    </xf>
    <xf numFmtId="0" fontId="8" fillId="0" borderId="0" xfId="4" applyFont="1" applyFill="1" applyAlignment="1">
      <alignment horizontal="center" vertical="center" wrapText="1"/>
    </xf>
    <xf numFmtId="169" fontId="8" fillId="0" borderId="6" xfId="4" applyNumberFormat="1" applyFont="1" applyBorder="1" applyAlignment="1">
      <alignment horizontal="center" vertical="center"/>
    </xf>
    <xf numFmtId="170" fontId="7" fillId="0" borderId="5" xfId="6" applyNumberFormat="1" applyFont="1" applyFill="1" applyBorder="1" applyAlignment="1">
      <alignment horizontal="center" vertical="center"/>
    </xf>
    <xf numFmtId="169" fontId="8" fillId="0" borderId="0" xfId="4" applyNumberFormat="1" applyFont="1" applyAlignment="1">
      <alignment horizontal="center" vertical="center"/>
    </xf>
    <xf numFmtId="170" fontId="8" fillId="0" borderId="0" xfId="4" applyNumberFormat="1" applyFont="1" applyFill="1" applyAlignment="1">
      <alignment horizontal="center" vertical="center"/>
    </xf>
    <xf numFmtId="170" fontId="8" fillId="0" borderId="0" xfId="4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0" fontId="7" fillId="0" borderId="5" xfId="2" applyNumberFormat="1" applyFont="1" applyFill="1" applyBorder="1" applyAlignment="1">
      <alignment horizontal="center" vertical="center"/>
    </xf>
    <xf numFmtId="170" fontId="7" fillId="5" borderId="5" xfId="5" applyNumberFormat="1" applyFont="1" applyFill="1" applyBorder="1" applyAlignment="1">
      <alignment horizontal="center" vertical="center"/>
    </xf>
    <xf numFmtId="172" fontId="8" fillId="0" borderId="0" xfId="4" applyNumberFormat="1" applyFont="1" applyFill="1" applyAlignment="1">
      <alignment horizontal="center" vertical="center"/>
    </xf>
    <xf numFmtId="172" fontId="8" fillId="0" borderId="0" xfId="4" applyNumberFormat="1" applyFont="1" applyAlignment="1">
      <alignment horizontal="center" vertical="center"/>
    </xf>
    <xf numFmtId="172" fontId="7" fillId="0" borderId="0" xfId="4" applyNumberFormat="1" applyFont="1" applyFill="1" applyAlignment="1">
      <alignment horizontal="center" vertical="center"/>
    </xf>
    <xf numFmtId="172" fontId="7" fillId="0" borderId="0" xfId="4" applyNumberFormat="1" applyFont="1" applyAlignment="1">
      <alignment horizontal="center" vertical="center"/>
    </xf>
    <xf numFmtId="0" fontId="8" fillId="0" borderId="0" xfId="4" applyFont="1" applyAlignment="1">
      <alignment horizontal="left" vertical="center" wrapText="1"/>
    </xf>
    <xf numFmtId="42" fontId="8" fillId="0" borderId="0" xfId="4" applyNumberFormat="1" applyFont="1" applyAlignment="1">
      <alignment horizontal="center" vertical="center"/>
    </xf>
    <xf numFmtId="170" fontId="7" fillId="0" borderId="5" xfId="4" applyNumberFormat="1" applyFont="1" applyFill="1" applyBorder="1" applyAlignment="1">
      <alignment horizontal="center" vertical="center"/>
    </xf>
    <xf numFmtId="172" fontId="7" fillId="0" borderId="5" xfId="4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69" fontId="8" fillId="0" borderId="0" xfId="4" applyNumberFormat="1" applyFont="1" applyFill="1" applyAlignment="1">
      <alignment horizontal="center" vertical="center"/>
    </xf>
    <xf numFmtId="170" fontId="7" fillId="3" borderId="5" xfId="2" applyNumberFormat="1" applyFont="1" applyFill="1" applyBorder="1" applyAlignment="1">
      <alignment horizontal="center" vertical="center"/>
    </xf>
    <xf numFmtId="170" fontId="7" fillId="4" borderId="5" xfId="5" applyNumberFormat="1" applyFont="1" applyFill="1" applyBorder="1" applyAlignment="1">
      <alignment horizontal="center" vertical="center"/>
    </xf>
    <xf numFmtId="0" fontId="8" fillId="0" borderId="6" xfId="4" quotePrefix="1" applyFont="1" applyBorder="1" applyAlignment="1">
      <alignment horizontal="center" vertical="center" wrapText="1"/>
    </xf>
    <xf numFmtId="42" fontId="8" fillId="0" borderId="6" xfId="4" quotePrefix="1" applyNumberFormat="1" applyFont="1" applyBorder="1" applyAlignment="1">
      <alignment horizontal="center" vertical="center"/>
    </xf>
    <xf numFmtId="0" fontId="8" fillId="0" borderId="0" xfId="4" quotePrefix="1" applyFont="1" applyAlignment="1">
      <alignment horizontal="center" vertical="center" wrapText="1"/>
    </xf>
    <xf numFmtId="0" fontId="8" fillId="0" borderId="0" xfId="4" quotePrefix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quotePrefix="1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2" fontId="8" fillId="0" borderId="6" xfId="0" applyNumberFormat="1" applyFont="1" applyBorder="1" applyAlignment="1">
      <alignment horizontal="center" vertical="center"/>
    </xf>
    <xf numFmtId="43" fontId="7" fillId="0" borderId="5" xfId="5" applyFont="1" applyFill="1" applyBorder="1" applyAlignment="1">
      <alignment horizontal="center" vertical="center"/>
    </xf>
    <xf numFmtId="170" fontId="8" fillId="0" borderId="0" xfId="2" applyNumberFormat="1" applyFont="1" applyAlignment="1">
      <alignment horizontal="center" vertical="center"/>
    </xf>
    <xf numFmtId="170" fontId="8" fillId="0" borderId="0" xfId="2" applyNumberFormat="1" applyFont="1" applyFill="1" applyAlignment="1">
      <alignment horizontal="center" vertical="center"/>
    </xf>
    <xf numFmtId="170" fontId="7" fillId="0" borderId="0" xfId="0" applyNumberFormat="1" applyFont="1" applyFill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72" fontId="7" fillId="0" borderId="0" xfId="0" applyNumberFormat="1" applyFont="1" applyFill="1" applyAlignment="1">
      <alignment horizontal="center" vertical="center"/>
    </xf>
    <xf numFmtId="172" fontId="7" fillId="0" borderId="0" xfId="0" applyNumberFormat="1" applyFont="1" applyAlignment="1">
      <alignment horizontal="center" vertical="center"/>
    </xf>
    <xf numFmtId="0" fontId="8" fillId="0" borderId="0" xfId="0" quotePrefix="1" applyFont="1" applyFill="1" applyAlignment="1">
      <alignment horizontal="center" vertical="center" wrapText="1"/>
    </xf>
    <xf numFmtId="0" fontId="8" fillId="0" borderId="6" xfId="0" quotePrefix="1" applyFont="1" applyFill="1" applyBorder="1" applyAlignment="1">
      <alignment horizontal="center" vertical="center" wrapText="1"/>
    </xf>
    <xf numFmtId="172" fontId="8" fillId="0" borderId="0" xfId="0" applyNumberFormat="1" applyFont="1" applyAlignment="1">
      <alignment vertical="center"/>
    </xf>
    <xf numFmtId="0" fontId="8" fillId="0" borderId="6" xfId="0" quotePrefix="1" applyFont="1" applyBorder="1" applyAlignment="1">
      <alignment horizontal="center" vertical="center" wrapText="1"/>
    </xf>
    <xf numFmtId="41" fontId="8" fillId="0" borderId="6" xfId="0" quotePrefix="1" applyNumberFormat="1" applyFont="1" applyBorder="1" applyAlignment="1">
      <alignment horizontal="center" vertical="center"/>
    </xf>
    <xf numFmtId="172" fontId="7" fillId="0" borderId="5" xfId="0" applyNumberFormat="1" applyFont="1" applyFill="1" applyBorder="1" applyAlignment="1">
      <alignment horizontal="center" vertical="center"/>
    </xf>
    <xf numFmtId="169" fontId="8" fillId="0" borderId="6" xfId="0" applyNumberFormat="1" applyFont="1" applyBorder="1" applyAlignment="1">
      <alignment horizontal="center" vertical="center"/>
    </xf>
    <xf numFmtId="169" fontId="8" fillId="0" borderId="6" xfId="7" applyNumberFormat="1" applyFont="1" applyBorder="1" applyAlignment="1">
      <alignment vertical="center"/>
    </xf>
    <xf numFmtId="169" fontId="8" fillId="0" borderId="0" xfId="7" applyNumberFormat="1" applyFont="1" applyAlignment="1">
      <alignment vertical="center"/>
    </xf>
    <xf numFmtId="43" fontId="8" fillId="0" borderId="0" xfId="8" applyNumberFormat="1" applyFont="1" applyFill="1" applyAlignment="1">
      <alignment horizontal="center" vertical="center"/>
    </xf>
    <xf numFmtId="169" fontId="8" fillId="0" borderId="6" xfId="7" applyNumberFormat="1" applyFont="1" applyBorder="1" applyAlignment="1">
      <alignment horizontal="center" vertical="center"/>
    </xf>
    <xf numFmtId="39" fontId="7" fillId="0" borderId="5" xfId="7" applyNumberFormat="1" applyFont="1" applyFill="1" applyBorder="1" applyAlignment="1">
      <alignment horizontal="center" vertical="center"/>
    </xf>
    <xf numFmtId="2" fontId="7" fillId="3" borderId="5" xfId="8" applyNumberFormat="1" applyFont="1" applyFill="1" applyBorder="1" applyAlignment="1">
      <alignment horizontal="center" vertical="center"/>
    </xf>
    <xf numFmtId="2" fontId="7" fillId="5" borderId="5" xfId="8" applyNumberFormat="1" applyFont="1" applyFill="1" applyBorder="1" applyAlignment="1">
      <alignment horizontal="center" vertical="center"/>
    </xf>
    <xf numFmtId="171" fontId="8" fillId="0" borderId="0" xfId="8" applyNumberFormat="1" applyFont="1" applyAlignment="1">
      <alignment horizontal="center" vertical="center"/>
    </xf>
    <xf numFmtId="169" fontId="8" fillId="0" borderId="0" xfId="7" applyNumberFormat="1" applyFont="1" applyAlignment="1">
      <alignment horizontal="center" vertical="center"/>
    </xf>
    <xf numFmtId="172" fontId="7" fillId="3" borderId="5" xfId="8" applyNumberFormat="1" applyFont="1" applyFill="1" applyBorder="1" applyAlignment="1">
      <alignment horizontal="center" vertical="center"/>
    </xf>
    <xf numFmtId="172" fontId="7" fillId="2" borderId="5" xfId="8" applyNumberFormat="1" applyFont="1" applyFill="1" applyBorder="1" applyAlignment="1">
      <alignment horizontal="center" vertical="center"/>
    </xf>
    <xf numFmtId="169" fontId="7" fillId="0" borderId="5" xfId="7" applyNumberFormat="1" applyFont="1" applyFill="1" applyBorder="1" applyAlignment="1">
      <alignment horizontal="center" vertical="center"/>
    </xf>
    <xf numFmtId="169" fontId="7" fillId="3" borderId="5" xfId="7" applyNumberFormat="1" applyFont="1" applyFill="1" applyBorder="1" applyAlignment="1">
      <alignment horizontal="center" vertical="center"/>
    </xf>
    <xf numFmtId="169" fontId="7" fillId="5" borderId="5" xfId="7" applyNumberFormat="1" applyFont="1" applyFill="1" applyBorder="1" applyAlignment="1">
      <alignment horizontal="center" vertical="center"/>
    </xf>
    <xf numFmtId="169" fontId="8" fillId="0" borderId="0" xfId="7" applyNumberFormat="1" applyFont="1" applyFill="1" applyAlignment="1">
      <alignment horizontal="center" vertical="center"/>
    </xf>
    <xf numFmtId="44" fontId="7" fillId="0" borderId="5" xfId="7" applyNumberFormat="1" applyFont="1" applyFill="1" applyBorder="1" applyAlignment="1">
      <alignment horizontal="center" vertical="center"/>
    </xf>
    <xf numFmtId="44" fontId="7" fillId="3" borderId="5" xfId="7" applyNumberFormat="1" applyFont="1" applyFill="1" applyBorder="1" applyAlignment="1">
      <alignment horizontal="center" vertical="center"/>
    </xf>
    <xf numFmtId="44" fontId="7" fillId="4" borderId="5" xfId="7" applyNumberFormat="1" applyFont="1" applyFill="1" applyBorder="1" applyAlignment="1">
      <alignment horizontal="center" vertical="center"/>
    </xf>
    <xf numFmtId="173" fontId="7" fillId="0" borderId="5" xfId="7" applyNumberFormat="1" applyFont="1" applyFill="1" applyBorder="1" applyAlignment="1">
      <alignment horizontal="center" vertical="center"/>
    </xf>
    <xf numFmtId="173" fontId="7" fillId="3" borderId="5" xfId="7" applyNumberFormat="1" applyFont="1" applyFill="1" applyBorder="1" applyAlignment="1">
      <alignment horizontal="center" vertical="center"/>
    </xf>
    <xf numFmtId="173" fontId="7" fillId="5" borderId="5" xfId="7" applyNumberFormat="1" applyFont="1" applyFill="1" applyBorder="1" applyAlignment="1">
      <alignment horizontal="center" vertical="center"/>
    </xf>
    <xf numFmtId="169" fontId="8" fillId="0" borderId="0" xfId="7" quotePrefix="1" applyNumberFormat="1" applyFont="1" applyAlignment="1">
      <alignment horizontal="center" vertical="center"/>
    </xf>
    <xf numFmtId="39" fontId="7" fillId="3" borderId="5" xfId="8" applyNumberFormat="1" applyFont="1" applyFill="1" applyBorder="1" applyAlignment="1">
      <alignment horizontal="center" vertical="center"/>
    </xf>
    <xf numFmtId="43" fontId="7" fillId="2" borderId="5" xfId="8" applyFont="1" applyFill="1" applyBorder="1" applyAlignment="1">
      <alignment horizontal="center" vertical="center"/>
    </xf>
    <xf numFmtId="43" fontId="8" fillId="0" borderId="0" xfId="8" applyFont="1" applyAlignment="1">
      <alignment horizontal="center" vertical="center"/>
    </xf>
    <xf numFmtId="169" fontId="8" fillId="6" borderId="6" xfId="7" quotePrefix="1" applyNumberFormat="1" applyFont="1" applyFill="1" applyBorder="1" applyAlignment="1">
      <alignment horizontal="center" vertical="center"/>
    </xf>
    <xf numFmtId="171" fontId="7" fillId="0" borderId="5" xfId="8" applyNumberFormat="1" applyFont="1" applyFill="1" applyBorder="1" applyAlignment="1">
      <alignment horizontal="center" vertical="center"/>
    </xf>
    <xf numFmtId="171" fontId="7" fillId="0" borderId="0" xfId="8" applyNumberFormat="1" applyFont="1" applyFill="1" applyAlignment="1">
      <alignment horizontal="center" vertical="center"/>
    </xf>
    <xf numFmtId="172" fontId="7" fillId="0" borderId="0" xfId="8" applyNumberFormat="1" applyFont="1" applyAlignment="1">
      <alignment horizontal="center" vertical="center"/>
    </xf>
    <xf numFmtId="169" fontId="8" fillId="0" borderId="0" xfId="7" applyNumberFormat="1" applyFont="1" applyBorder="1" applyAlignment="1">
      <alignment horizontal="center" vertical="center"/>
    </xf>
    <xf numFmtId="172" fontId="7" fillId="5" borderId="5" xfId="8" applyNumberFormat="1" applyFont="1" applyFill="1" applyBorder="1" applyAlignment="1">
      <alignment horizontal="center" vertical="center"/>
    </xf>
    <xf numFmtId="169" fontId="8" fillId="0" borderId="6" xfId="7" quotePrefix="1" applyNumberFormat="1" applyFont="1" applyBorder="1" applyAlignment="1">
      <alignment horizontal="center" vertical="center"/>
    </xf>
    <xf numFmtId="173" fontId="8" fillId="0" borderId="0" xfId="7" applyNumberFormat="1" applyFont="1" applyAlignment="1">
      <alignment horizontal="center" vertical="center"/>
    </xf>
    <xf numFmtId="169" fontId="8" fillId="0" borderId="0" xfId="7" quotePrefix="1" applyNumberFormat="1" applyFont="1" applyFill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11" fillId="0" borderId="0" xfId="0" applyFont="1"/>
    <xf numFmtId="0" fontId="11" fillId="7" borderId="0" xfId="0" quotePrefix="1" applyFont="1" applyFill="1"/>
    <xf numFmtId="0" fontId="11" fillId="7" borderId="0" xfId="0" applyFont="1" applyFill="1"/>
    <xf numFmtId="169" fontId="1" fillId="0" borderId="0" xfId="9" applyNumberFormat="1" applyFont="1"/>
    <xf numFmtId="170" fontId="1" fillId="0" borderId="0" xfId="2" applyNumberFormat="1" applyFont="1"/>
    <xf numFmtId="0" fontId="0" fillId="0" borderId="0" xfId="0" quotePrefix="1"/>
    <xf numFmtId="170" fontId="1" fillId="2" borderId="5" xfId="2" applyNumberFormat="1" applyFont="1" applyFill="1" applyBorder="1"/>
    <xf numFmtId="10" fontId="0" fillId="0" borderId="0" xfId="0" applyNumberFormat="1"/>
    <xf numFmtId="10" fontId="1" fillId="0" borderId="0" xfId="2" applyNumberFormat="1" applyFont="1"/>
    <xf numFmtId="10" fontId="1" fillId="2" borderId="5" xfId="2" applyNumberFormat="1" applyFont="1" applyFill="1" applyBorder="1"/>
    <xf numFmtId="0" fontId="12" fillId="0" borderId="0" xfId="0" applyFont="1" applyFill="1"/>
    <xf numFmtId="169" fontId="0" fillId="0" borderId="0" xfId="0" applyNumberFormat="1"/>
    <xf numFmtId="10" fontId="1" fillId="0" borderId="7" xfId="6" applyNumberFormat="1" applyFont="1" applyBorder="1"/>
    <xf numFmtId="2" fontId="0" fillId="0" borderId="7" xfId="0" applyNumberFormat="1" applyBorder="1"/>
    <xf numFmtId="10" fontId="0" fillId="0" borderId="7" xfId="0" applyNumberFormat="1" applyBorder="1"/>
    <xf numFmtId="10" fontId="1" fillId="0" borderId="7" xfId="6" applyNumberFormat="1" applyFont="1" applyFill="1" applyBorder="1"/>
    <xf numFmtId="169" fontId="0" fillId="0" borderId="7" xfId="0" applyNumberFormat="1" applyBorder="1"/>
    <xf numFmtId="169" fontId="1" fillId="0" borderId="7" xfId="9" applyNumberFormat="1" applyFont="1" applyBorder="1"/>
    <xf numFmtId="170" fontId="1" fillId="0" borderId="7" xfId="6" applyNumberFormat="1" applyFont="1" applyBorder="1"/>
    <xf numFmtId="170" fontId="1" fillId="0" borderId="7" xfId="6" applyNumberFormat="1" applyFont="1" applyFill="1" applyBorder="1"/>
    <xf numFmtId="10" fontId="1" fillId="0" borderId="0" xfId="6" applyNumberFormat="1" applyFont="1"/>
    <xf numFmtId="170" fontId="11" fillId="2" borderId="5" xfId="6" applyNumberFormat="1" applyFont="1" applyFill="1" applyBorder="1"/>
    <xf numFmtId="0" fontId="11" fillId="0" borderId="8" xfId="0" applyFont="1" applyBorder="1"/>
    <xf numFmtId="0" fontId="0" fillId="0" borderId="9" xfId="0" applyBorder="1"/>
    <xf numFmtId="0" fontId="13" fillId="0" borderId="9" xfId="10" applyBorder="1"/>
    <xf numFmtId="2" fontId="0" fillId="0" borderId="5" xfId="0" applyNumberFormat="1" applyBorder="1"/>
    <xf numFmtId="10" fontId="1" fillId="0" borderId="5" xfId="2" applyNumberFormat="1" applyFont="1" applyBorder="1"/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170" fontId="1" fillId="0" borderId="0" xfId="6" applyNumberFormat="1" applyFont="1" applyBorder="1" applyAlignment="1">
      <alignment horizontal="center"/>
    </xf>
    <xf numFmtId="170" fontId="1" fillId="0" borderId="0" xfId="6" applyNumberFormat="1" applyFont="1"/>
    <xf numFmtId="43" fontId="1" fillId="0" borderId="0" xfId="5" applyNumberFormat="1" applyFont="1"/>
    <xf numFmtId="174" fontId="1" fillId="0" borderId="0" xfId="5" applyNumberFormat="1" applyFont="1"/>
    <xf numFmtId="174" fontId="0" fillId="0" borderId="0" xfId="0" applyNumberFormat="1"/>
    <xf numFmtId="174" fontId="1" fillId="0" borderId="0" xfId="5" applyNumberFormat="1" applyFont="1" applyFill="1"/>
    <xf numFmtId="175" fontId="1" fillId="0" borderId="0" xfId="5" applyNumberFormat="1" applyFont="1"/>
    <xf numFmtId="9" fontId="1" fillId="0" borderId="0" xfId="2" applyFont="1"/>
    <xf numFmtId="176" fontId="1" fillId="0" borderId="0" xfId="5" applyNumberFormat="1" applyFont="1"/>
    <xf numFmtId="174" fontId="1" fillId="0" borderId="6" xfId="5" applyNumberFormat="1" applyFont="1" applyBorder="1"/>
    <xf numFmtId="174" fontId="1" fillId="0" borderId="5" xfId="5" applyNumberFormat="1" applyFont="1" applyBorder="1"/>
    <xf numFmtId="169" fontId="1" fillId="0" borderId="13" xfId="9" applyNumberFormat="1" applyFont="1" applyBorder="1"/>
    <xf numFmtId="171" fontId="1" fillId="0" borderId="0" xfId="5" applyNumberFormat="1" applyFont="1"/>
    <xf numFmtId="44" fontId="1" fillId="0" borderId="13" xfId="9" applyFont="1" applyFill="1" applyBorder="1"/>
    <xf numFmtId="174" fontId="1" fillId="0" borderId="0" xfId="5" applyNumberFormat="1" applyFont="1" applyBorder="1"/>
    <xf numFmtId="10" fontId="1" fillId="0" borderId="0" xfId="6" applyNumberFormat="1" applyFont="1" applyBorder="1" applyAlignment="1">
      <alignment horizontal="center"/>
    </xf>
    <xf numFmtId="174" fontId="0" fillId="0" borderId="0" xfId="5" applyNumberFormat="1" applyFont="1"/>
    <xf numFmtId="0" fontId="11" fillId="2" borderId="0" xfId="0" applyFont="1" applyFill="1"/>
    <xf numFmtId="0" fontId="11" fillId="8" borderId="0" xfId="0" applyFont="1" applyFill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42" fontId="0" fillId="0" borderId="0" xfId="0" applyNumberFormat="1"/>
    <xf numFmtId="0" fontId="0" fillId="0" borderId="6" xfId="0" applyBorder="1"/>
    <xf numFmtId="171" fontId="1" fillId="0" borderId="6" xfId="8" applyNumberFormat="1" applyFont="1" applyBorder="1"/>
    <xf numFmtId="44" fontId="0" fillId="0" borderId="0" xfId="0" applyNumberFormat="1"/>
    <xf numFmtId="44" fontId="1" fillId="0" borderId="0" xfId="9" applyFont="1"/>
    <xf numFmtId="44" fontId="11" fillId="2" borderId="5" xfId="9" applyFont="1" applyFill="1" applyBorder="1"/>
    <xf numFmtId="44" fontId="1" fillId="0" borderId="0" xfId="9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44" fontId="11" fillId="2" borderId="0" xfId="0" applyNumberFormat="1" applyFont="1" applyFill="1"/>
    <xf numFmtId="0" fontId="15" fillId="0" borderId="0" xfId="0" applyFont="1"/>
    <xf numFmtId="0" fontId="15" fillId="0" borderId="0" xfId="0" applyFont="1" applyFill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wrapText="1"/>
    </xf>
    <xf numFmtId="6" fontId="15" fillId="0" borderId="0" xfId="0" applyNumberFormat="1" applyFont="1" applyFill="1" applyAlignment="1">
      <alignment horizontal="right" wrapText="1"/>
    </xf>
    <xf numFmtId="0" fontId="17" fillId="0" borderId="0" xfId="0" applyFont="1" applyAlignment="1">
      <alignment vertical="top"/>
    </xf>
    <xf numFmtId="0" fontId="15" fillId="0" borderId="0" xfId="0" applyFont="1" applyAlignment="1">
      <alignment vertical="top"/>
    </xf>
    <xf numFmtId="3" fontId="15" fillId="0" borderId="0" xfId="0" applyNumberFormat="1" applyFont="1" applyFill="1" applyAlignment="1">
      <alignment horizontal="right" wrapText="1"/>
    </xf>
    <xf numFmtId="0" fontId="18" fillId="0" borderId="0" xfId="0" applyFont="1" applyFill="1" applyAlignment="1">
      <alignment wrapText="1"/>
    </xf>
    <xf numFmtId="3" fontId="15" fillId="0" borderId="17" xfId="0" applyNumberFormat="1" applyFont="1" applyFill="1" applyBorder="1" applyAlignment="1">
      <alignment horizontal="right" wrapText="1"/>
    </xf>
    <xf numFmtId="0" fontId="17" fillId="0" borderId="0" xfId="0" applyFont="1" applyAlignment="1">
      <alignment vertical="top" wrapText="1"/>
    </xf>
    <xf numFmtId="42" fontId="17" fillId="2" borderId="0" xfId="0" applyNumberFormat="1" applyFont="1" applyFill="1" applyAlignment="1">
      <alignment vertical="top"/>
    </xf>
    <xf numFmtId="3" fontId="15" fillId="0" borderId="18" xfId="0" applyNumberFormat="1" applyFont="1" applyFill="1" applyBorder="1" applyAlignment="1">
      <alignment horizontal="right" wrapText="1"/>
    </xf>
    <xf numFmtId="37" fontId="17" fillId="0" borderId="0" xfId="0" applyNumberFormat="1" applyFont="1" applyAlignment="1">
      <alignment vertical="top"/>
    </xf>
    <xf numFmtId="0" fontId="15" fillId="0" borderId="0" xfId="0" applyFont="1" applyFill="1" applyAlignment="1">
      <alignment horizontal="right" wrapText="1"/>
    </xf>
    <xf numFmtId="0" fontId="15" fillId="0" borderId="0" xfId="0" applyFont="1" applyFill="1" applyAlignment="1">
      <alignment horizontal="left" wrapText="1"/>
    </xf>
    <xf numFmtId="6" fontId="15" fillId="0" borderId="17" xfId="0" applyNumberFormat="1" applyFont="1" applyFill="1" applyBorder="1" applyAlignment="1">
      <alignment horizontal="right" wrapText="1"/>
    </xf>
    <xf numFmtId="8" fontId="15" fillId="0" borderId="0" xfId="0" applyNumberFormat="1" applyFont="1" applyFill="1"/>
    <xf numFmtId="0" fontId="18" fillId="0" borderId="0" xfId="0" applyFont="1" applyFill="1" applyAlignment="1">
      <alignment horizontal="right" wrapText="1"/>
    </xf>
    <xf numFmtId="3" fontId="15" fillId="0" borderId="0" xfId="0" applyNumberFormat="1" applyFont="1" applyFill="1" applyBorder="1" applyAlignment="1">
      <alignment wrapText="1"/>
    </xf>
    <xf numFmtId="0" fontId="15" fillId="0" borderId="0" xfId="0" applyFont="1" applyAlignment="1">
      <alignment vertical="top" wrapText="1"/>
    </xf>
    <xf numFmtId="177" fontId="15" fillId="0" borderId="0" xfId="0" applyNumberFormat="1" applyFont="1" applyAlignment="1">
      <alignment horizontal="right" vertical="top"/>
    </xf>
    <xf numFmtId="0" fontId="16" fillId="0" borderId="0" xfId="0" applyFont="1" applyAlignment="1">
      <alignment vertical="top" wrapText="1"/>
    </xf>
    <xf numFmtId="0" fontId="15" fillId="0" borderId="0" xfId="0" applyFont="1" applyAlignment="1">
      <alignment horizontal="right"/>
    </xf>
    <xf numFmtId="42" fontId="17" fillId="0" borderId="0" xfId="0" applyNumberFormat="1" applyFont="1" applyAlignment="1">
      <alignment vertical="top"/>
    </xf>
    <xf numFmtId="37" fontId="15" fillId="0" borderId="0" xfId="0" applyNumberFormat="1" applyFont="1" applyAlignment="1">
      <alignment horizontal="right" vertical="top"/>
    </xf>
    <xf numFmtId="37" fontId="15" fillId="0" borderId="6" xfId="0" applyNumberFormat="1" applyFont="1" applyBorder="1" applyAlignment="1">
      <alignment horizontal="right" vertical="top"/>
    </xf>
    <xf numFmtId="0" fontId="15" fillId="0" borderId="0" xfId="0" applyFont="1" applyFill="1" applyBorder="1"/>
    <xf numFmtId="0" fontId="18" fillId="0" borderId="0" xfId="0" applyFont="1" applyAlignment="1">
      <alignment vertical="top" wrapText="1"/>
    </xf>
    <xf numFmtId="177" fontId="18" fillId="2" borderId="5" xfId="0" applyNumberFormat="1" applyFont="1" applyFill="1" applyBorder="1" applyAlignment="1">
      <alignment horizontal="right"/>
    </xf>
    <xf numFmtId="37" fontId="15" fillId="0" borderId="0" xfId="0" applyNumberFormat="1" applyFont="1" applyAlignment="1">
      <alignment vertical="top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right" wrapText="1"/>
    </xf>
    <xf numFmtId="37" fontId="17" fillId="0" borderId="0" xfId="0" applyNumberFormat="1" applyFont="1" applyFill="1" applyAlignment="1">
      <alignment vertical="top"/>
    </xf>
    <xf numFmtId="0" fontId="15" fillId="0" borderId="0" xfId="0" applyFont="1" applyFill="1" applyAlignment="1">
      <alignment horizontal="right"/>
    </xf>
    <xf numFmtId="37" fontId="17" fillId="2" borderId="0" xfId="0" applyNumberFormat="1" applyFont="1" applyFill="1" applyAlignment="1">
      <alignment vertical="top"/>
    </xf>
    <xf numFmtId="0" fontId="19" fillId="0" borderId="0" xfId="0" applyFont="1" applyAlignment="1">
      <alignment vertical="top" wrapText="1"/>
    </xf>
    <xf numFmtId="42" fontId="18" fillId="0" borderId="0" xfId="0" applyNumberFormat="1" applyFont="1" applyAlignment="1">
      <alignment vertical="top"/>
    </xf>
    <xf numFmtId="43" fontId="19" fillId="0" borderId="0" xfId="0" applyNumberFormat="1" applyFont="1" applyAlignment="1">
      <alignment vertical="top"/>
    </xf>
    <xf numFmtId="44" fontId="19" fillId="0" borderId="0" xfId="0" applyNumberFormat="1" applyFont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Fill="1" applyAlignment="1">
      <alignment vertical="top"/>
    </xf>
    <xf numFmtId="42" fontId="17" fillId="0" borderId="0" xfId="0" applyNumberFormat="1" applyFont="1" applyFill="1" applyAlignment="1">
      <alignment vertical="top"/>
    </xf>
    <xf numFmtId="43" fontId="17" fillId="0" borderId="0" xfId="0" applyNumberFormat="1" applyFont="1" applyAlignment="1">
      <alignment vertical="top"/>
    </xf>
    <xf numFmtId="42" fontId="15" fillId="0" borderId="0" xfId="0" applyNumberFormat="1" applyFont="1" applyFill="1"/>
    <xf numFmtId="0" fontId="15" fillId="2" borderId="0" xfId="0" applyFont="1" applyFill="1"/>
    <xf numFmtId="177" fontId="15" fillId="2" borderId="0" xfId="0" applyNumberFormat="1" applyFont="1" applyFill="1"/>
    <xf numFmtId="174" fontId="15" fillId="2" borderId="0" xfId="8" applyNumberFormat="1" applyFont="1" applyFill="1"/>
    <xf numFmtId="0" fontId="0" fillId="0" borderId="8" xfId="0" applyBorder="1"/>
    <xf numFmtId="0" fontId="0" fillId="0" borderId="19" xfId="0" applyFill="1" applyBorder="1"/>
    <xf numFmtId="10" fontId="0" fillId="0" borderId="5" xfId="0" applyNumberFormat="1" applyBorder="1"/>
    <xf numFmtId="0" fontId="8" fillId="0" borderId="0" xfId="4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 wrapText="1"/>
    </xf>
  </cellXfs>
  <cellStyles count="11">
    <cellStyle name="Comma" xfId="1" builtinId="3"/>
    <cellStyle name="Comma 2" xfId="5"/>
    <cellStyle name="Comma 3" xfId="8"/>
    <cellStyle name="Currency" xfId="9" builtinId="4"/>
    <cellStyle name="Currency 2" xfId="7"/>
    <cellStyle name="Hyperlink" xfId="10" builtinId="8"/>
    <cellStyle name="Normal" xfId="0" builtinId="0"/>
    <cellStyle name="Normal 2" xfId="4"/>
    <cellStyle name="Normal 3" xfId="3"/>
    <cellStyle name="Percent" xfId="2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g/Downloads/243_EM201772MIC321FAC_3FinancialAnalysis_NIKE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ke"/>
      <sheetName val="Income Statement"/>
      <sheetName val="Balance Sheet"/>
      <sheetName val="Cash Flow"/>
      <sheetName val="Net Operating Balance Sheet"/>
      <sheetName val="Financial Ratios"/>
      <sheetName val="Normalizations and Adjustments"/>
      <sheetName val="Income Statement Adjusted"/>
      <sheetName val="Balance Sheet Adjusted"/>
      <sheetName val="Cash Flow Adjusted"/>
      <sheetName val="Net Operating Balance Sheet Adj"/>
      <sheetName val="Financial Ratios Adjusted"/>
      <sheetName val="Forecast Entries"/>
      <sheetName val="Income Statement Forecasted"/>
      <sheetName val="Balance Sheet Forecasted"/>
      <sheetName val="Cash Flow Forecasted"/>
      <sheetName val="Net Operating BS Forecast"/>
      <sheetName val="Financial Ratios Forecasted"/>
      <sheetName val="Co Past &amp; Present Performance"/>
      <sheetName val="Valuation Models"/>
      <sheetName val="Company and Equity IV"/>
      <sheetName val="Under Armour"/>
      <sheetName val="Skechers"/>
      <sheetName val="Example 13.1"/>
      <sheetName val="Examle 1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0">
          <cell r="H30">
            <v>181646468</v>
          </cell>
        </row>
      </sheetData>
      <sheetData sheetId="22">
        <row r="31">
          <cell r="H31">
            <v>130675283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3" workbookViewId="0">
      <selection activeCell="B5" sqref="B5"/>
    </sheetView>
  </sheetViews>
  <sheetFormatPr defaultRowHeight="15" x14ac:dyDescent="0.25"/>
  <cols>
    <col min="1" max="1" width="54" customWidth="1"/>
    <col min="2" max="2" width="25.5703125" customWidth="1"/>
    <col min="3" max="7" width="13.7109375" bestFit="1" customWidth="1"/>
  </cols>
  <sheetData>
    <row r="1" spans="1:7" ht="15.75" x14ac:dyDescent="0.25">
      <c r="A1" s="11" t="s">
        <v>56</v>
      </c>
      <c r="B1" s="11"/>
      <c r="C1" s="12"/>
      <c r="D1" s="12"/>
      <c r="E1" s="12"/>
      <c r="F1" s="12"/>
      <c r="G1" s="12"/>
    </row>
    <row r="2" spans="1:7" x14ac:dyDescent="0.25">
      <c r="A2" s="12" t="s">
        <v>1</v>
      </c>
      <c r="B2" s="12"/>
      <c r="C2" s="12"/>
      <c r="D2" s="12"/>
      <c r="E2" s="12"/>
      <c r="F2" s="12"/>
      <c r="G2" s="12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13" t="s">
        <v>57</v>
      </c>
      <c r="B4" s="13"/>
      <c r="C4" s="14">
        <v>42369</v>
      </c>
      <c r="D4" s="14">
        <v>42004</v>
      </c>
      <c r="E4" s="14">
        <v>41639</v>
      </c>
      <c r="F4" s="14">
        <v>41274</v>
      </c>
      <c r="G4" s="14">
        <v>40908</v>
      </c>
    </row>
    <row r="5" spans="1:7" x14ac:dyDescent="0.25">
      <c r="A5" s="15" t="s">
        <v>58</v>
      </c>
      <c r="B5" s="20">
        <f>(C5/$C$8+D5/$D$8+E5/$E$8+F5/$F$8)/4</f>
        <v>0.79153373473085742</v>
      </c>
      <c r="C5" s="16">
        <v>14045</v>
      </c>
      <c r="D5" s="16">
        <v>11660</v>
      </c>
      <c r="E5" s="16">
        <v>12304</v>
      </c>
      <c r="F5" s="16">
        <v>13654</v>
      </c>
      <c r="G5" s="16">
        <v>17622</v>
      </c>
    </row>
    <row r="6" spans="1:7" x14ac:dyDescent="0.25">
      <c r="A6" s="15" t="s">
        <v>59</v>
      </c>
      <c r="B6" s="20">
        <f>(C6/$C$8+D6/$D$8+E6/$E$8+F6/$F$8)/4</f>
        <v>0.22827485243430912</v>
      </c>
      <c r="C6" s="16">
        <v>2515</v>
      </c>
      <c r="D6" s="16">
        <v>4219</v>
      </c>
      <c r="E6" s="16">
        <v>4081</v>
      </c>
      <c r="F6" s="16">
        <v>3967</v>
      </c>
      <c r="G6" s="16">
        <v>3622</v>
      </c>
    </row>
    <row r="7" spans="1:7" x14ac:dyDescent="0.25">
      <c r="A7" s="15" t="s">
        <v>13</v>
      </c>
      <c r="B7" s="20">
        <f>(C7/$C$8+D7/$D$8+E7/$E$8+F7/$F$8)/4</f>
        <v>-1.9808587165166584E-2</v>
      </c>
      <c r="C7" s="17">
        <v>-348</v>
      </c>
      <c r="D7" s="17">
        <v>412</v>
      </c>
      <c r="E7" s="17">
        <v>-3324</v>
      </c>
      <c r="F7" s="17">
        <v>3646</v>
      </c>
      <c r="G7" s="16"/>
    </row>
    <row r="8" spans="1:7" x14ac:dyDescent="0.25">
      <c r="A8" s="18" t="s">
        <v>60</v>
      </c>
      <c r="B8" s="20">
        <f>POWER((C8/F8),1/3)-1</f>
        <v>-8.6496698386616111E-2</v>
      </c>
      <c r="C8" s="19">
        <f>SUM(C5:C7)</f>
        <v>16212</v>
      </c>
      <c r="D8" s="19">
        <f>SUM(D5:D7)</f>
        <v>16291</v>
      </c>
      <c r="E8" s="19">
        <f>SUM(E5:E7)</f>
        <v>13061</v>
      </c>
      <c r="F8" s="19">
        <f>SUM(F5:F7)</f>
        <v>21267</v>
      </c>
      <c r="G8" s="19">
        <f>SUM(G5:G7)</f>
        <v>21244</v>
      </c>
    </row>
    <row r="9" spans="1:7" x14ac:dyDescent="0.25">
      <c r="A9" s="15" t="s">
        <v>61</v>
      </c>
      <c r="B9" s="20"/>
      <c r="C9" s="16">
        <v>-3909</v>
      </c>
      <c r="D9" s="16">
        <v>-3932</v>
      </c>
      <c r="E9" s="16">
        <v>-4619</v>
      </c>
      <c r="F9" s="16">
        <v>-4610</v>
      </c>
      <c r="G9" s="16">
        <v>-5598</v>
      </c>
    </row>
    <row r="10" spans="1:7" x14ac:dyDescent="0.25">
      <c r="A10" s="18" t="s">
        <v>62</v>
      </c>
      <c r="B10" s="20">
        <f>(C10/$C$8+D10/$D$8+E10/$E$8+F10/$F$8)/4</f>
        <v>0.73677650526092264</v>
      </c>
      <c r="C10" s="19">
        <f>SUM(C8:C9)</f>
        <v>12303</v>
      </c>
      <c r="D10" s="19">
        <f>SUM(D8:D9)</f>
        <v>12359</v>
      </c>
      <c r="E10" s="19">
        <f>SUM(E8:E9)</f>
        <v>8442</v>
      </c>
      <c r="F10" s="19">
        <f>SUM(F8:F9)</f>
        <v>16657</v>
      </c>
      <c r="G10" s="19">
        <f>SUM(G8:G9)</f>
        <v>15646</v>
      </c>
    </row>
    <row r="11" spans="1:7" x14ac:dyDescent="0.25">
      <c r="A11" s="15" t="s">
        <v>63</v>
      </c>
      <c r="B11" s="20">
        <f t="shared" ref="B11:B27" si="0">(C11/$C$8+D11/$D$8+E11/$E$8+F11/$F$8)/4</f>
        <v>-0.30216292574525327</v>
      </c>
      <c r="C11" s="16">
        <v>-4841</v>
      </c>
      <c r="D11" s="16">
        <v>-4822</v>
      </c>
      <c r="E11" s="16">
        <v>-4939</v>
      </c>
      <c r="F11" s="16">
        <v>-5017</v>
      </c>
      <c r="G11" s="16">
        <v>-5160</v>
      </c>
    </row>
    <row r="12" spans="1:7" x14ac:dyDescent="0.25">
      <c r="A12" s="15" t="s">
        <v>64</v>
      </c>
      <c r="B12" s="20">
        <f t="shared" si="0"/>
        <v>-0.27817629386041393</v>
      </c>
      <c r="C12" s="16">
        <v>-5920</v>
      </c>
      <c r="D12" s="16">
        <v>-4534</v>
      </c>
      <c r="E12" s="16">
        <v>-3731</v>
      </c>
      <c r="F12" s="16">
        <v>-3904</v>
      </c>
      <c r="G12" s="16">
        <v>-3839</v>
      </c>
    </row>
    <row r="13" spans="1:7" x14ac:dyDescent="0.25">
      <c r="A13" s="15" t="s">
        <v>65</v>
      </c>
      <c r="B13" s="20">
        <f t="shared" si="0"/>
        <v>-2.1512202003103401E-2</v>
      </c>
      <c r="C13" s="16">
        <v>0</v>
      </c>
      <c r="D13" s="16">
        <v>0</v>
      </c>
      <c r="E13" s="16">
        <v>0</v>
      </c>
      <c r="F13" s="16">
        <v>-1830</v>
      </c>
      <c r="G13" s="16">
        <v>0</v>
      </c>
    </row>
    <row r="14" spans="1:7" x14ac:dyDescent="0.25">
      <c r="A14" s="18" t="s">
        <v>66</v>
      </c>
      <c r="B14" s="20">
        <f t="shared" si="0"/>
        <v>0.13492508365215206</v>
      </c>
      <c r="C14" s="19">
        <f>SUM(C10:C13)</f>
        <v>1542</v>
      </c>
      <c r="D14" s="19">
        <f>SUM(D10:D13)</f>
        <v>3003</v>
      </c>
      <c r="E14" s="19">
        <f>SUM(E10:E13)</f>
        <v>-228</v>
      </c>
      <c r="F14" s="19">
        <f>SUM(F10:F13)</f>
        <v>5906</v>
      </c>
      <c r="G14" s="19">
        <f>SUM(G10:G13)</f>
        <v>6647</v>
      </c>
    </row>
    <row r="15" spans="1:7" x14ac:dyDescent="0.25">
      <c r="A15" s="15" t="s">
        <v>67</v>
      </c>
      <c r="B15" s="20">
        <f t="shared" si="0"/>
        <v>-1.1901136124498626E-2</v>
      </c>
      <c r="C15" s="16">
        <v>-184</v>
      </c>
      <c r="D15" s="16">
        <v>-203</v>
      </c>
      <c r="E15" s="16">
        <v>-199</v>
      </c>
      <c r="F15" s="16">
        <v>-182</v>
      </c>
      <c r="G15" s="16">
        <v>-145</v>
      </c>
    </row>
    <row r="16" spans="1:7" x14ac:dyDescent="0.25">
      <c r="A16" s="15" t="s">
        <v>68</v>
      </c>
      <c r="B16" s="20">
        <f t="shared" si="0"/>
        <v>6.3441450159263772E-3</v>
      </c>
      <c r="C16" s="16">
        <v>101</v>
      </c>
      <c r="D16" s="16">
        <v>101</v>
      </c>
      <c r="E16" s="16">
        <v>104</v>
      </c>
      <c r="F16" s="16">
        <v>106</v>
      </c>
      <c r="G16" s="16">
        <v>91</v>
      </c>
    </row>
    <row r="17" spans="1:7" x14ac:dyDescent="0.25">
      <c r="A17" s="15" t="s">
        <v>69</v>
      </c>
      <c r="B17" s="20">
        <f t="shared" si="0"/>
        <v>-1.0692298989877417E-2</v>
      </c>
      <c r="C17" s="16">
        <v>-118</v>
      </c>
      <c r="D17" s="16">
        <v>-163</v>
      </c>
      <c r="E17" s="16">
        <v>-226</v>
      </c>
      <c r="F17" s="16">
        <v>-174</v>
      </c>
      <c r="G17" s="16">
        <v>-116</v>
      </c>
    </row>
    <row r="18" spans="1:7" x14ac:dyDescent="0.25">
      <c r="A18" s="15" t="s">
        <v>29</v>
      </c>
      <c r="B18" s="20">
        <f t="shared" si="0"/>
        <v>-2.6586736162710228E-3</v>
      </c>
      <c r="C18" s="16">
        <v>-159</v>
      </c>
      <c r="D18" s="16">
        <v>-23</v>
      </c>
      <c r="E18" s="16">
        <v>-20</v>
      </c>
      <c r="F18" s="16">
        <v>45</v>
      </c>
      <c r="G18" s="16">
        <v>-6</v>
      </c>
    </row>
    <row r="19" spans="1:7" x14ac:dyDescent="0.25">
      <c r="A19" s="15" t="s">
        <v>70</v>
      </c>
      <c r="B19" s="20">
        <f t="shared" si="0"/>
        <v>8.250545599645321E-3</v>
      </c>
      <c r="C19" s="16">
        <v>83</v>
      </c>
      <c r="D19" s="16">
        <v>107</v>
      </c>
      <c r="E19" s="16">
        <v>166</v>
      </c>
      <c r="F19" s="16">
        <v>183</v>
      </c>
      <c r="G19" s="16">
        <v>281</v>
      </c>
    </row>
    <row r="20" spans="1:7" x14ac:dyDescent="0.25">
      <c r="A20" s="15" t="s">
        <v>71</v>
      </c>
      <c r="B20" s="20">
        <f t="shared" si="0"/>
        <v>-1.092201249622159E-3</v>
      </c>
      <c r="C20" s="16">
        <v>-13</v>
      </c>
      <c r="D20" s="16">
        <v>-29</v>
      </c>
      <c r="E20" s="16">
        <v>0</v>
      </c>
      <c r="F20" s="16">
        <v>-38</v>
      </c>
      <c r="G20" s="16" t="s">
        <v>72</v>
      </c>
    </row>
    <row r="21" spans="1:7" x14ac:dyDescent="0.25">
      <c r="A21" s="15" t="s">
        <v>73</v>
      </c>
      <c r="B21" s="20">
        <f t="shared" si="0"/>
        <v>1.2338851029365718E-2</v>
      </c>
      <c r="C21" s="16">
        <v>196</v>
      </c>
      <c r="D21" s="16">
        <v>564</v>
      </c>
      <c r="E21" s="16">
        <v>2</v>
      </c>
      <c r="F21" s="16">
        <v>53</v>
      </c>
      <c r="G21" s="16">
        <v>37</v>
      </c>
    </row>
    <row r="22" spans="1:7" x14ac:dyDescent="0.25">
      <c r="A22" s="15" t="s">
        <v>74</v>
      </c>
      <c r="B22" s="20">
        <f t="shared" si="0"/>
        <v>2.2384442045395768E-2</v>
      </c>
      <c r="C22" s="16">
        <v>628</v>
      </c>
      <c r="D22" s="16">
        <v>404</v>
      </c>
      <c r="E22" s="16">
        <v>148</v>
      </c>
      <c r="F22" s="16">
        <v>312</v>
      </c>
      <c r="G22" s="16">
        <v>140</v>
      </c>
    </row>
    <row r="23" spans="1:7" x14ac:dyDescent="0.25">
      <c r="A23" s="15" t="s">
        <v>75</v>
      </c>
      <c r="B23" s="20">
        <f t="shared" si="0"/>
        <v>-2.094125447050282E-2</v>
      </c>
      <c r="C23" s="16">
        <v>-160</v>
      </c>
      <c r="D23" s="16">
        <v>-877</v>
      </c>
      <c r="E23" s="16">
        <v>-165</v>
      </c>
      <c r="F23" s="16">
        <v>-158</v>
      </c>
      <c r="G23" s="16">
        <v>-10</v>
      </c>
    </row>
    <row r="24" spans="1:7" x14ac:dyDescent="0.25">
      <c r="A24" s="15" t="s">
        <v>76</v>
      </c>
      <c r="B24" s="20">
        <f t="shared" si="0"/>
        <v>-3.4662870304661142E-3</v>
      </c>
      <c r="C24" s="16">
        <v>-180</v>
      </c>
      <c r="D24" s="16">
        <v>-45</v>
      </c>
      <c r="E24" s="16">
        <v>0</v>
      </c>
      <c r="F24" s="16">
        <v>0</v>
      </c>
      <c r="G24" s="16" t="s">
        <v>72</v>
      </c>
    </row>
    <row r="25" spans="1:7" x14ac:dyDescent="0.25">
      <c r="A25" s="15" t="s">
        <v>30</v>
      </c>
      <c r="B25" s="20">
        <f t="shared" si="0"/>
        <v>-1.8885754913585523E-3</v>
      </c>
      <c r="C25" s="16">
        <v>-7</v>
      </c>
      <c r="D25" s="16">
        <v>-46</v>
      </c>
      <c r="E25" s="16">
        <v>-15</v>
      </c>
      <c r="F25" s="16">
        <v>-67</v>
      </c>
      <c r="G25" s="16">
        <v>62</v>
      </c>
    </row>
    <row r="26" spans="1:7" x14ac:dyDescent="0.25">
      <c r="A26" s="18" t="s">
        <v>77</v>
      </c>
      <c r="B26" s="20">
        <f t="shared" si="0"/>
        <v>-3.3224432822635281E-3</v>
      </c>
      <c r="C26" s="19">
        <f>SUM(C15:C25)</f>
        <v>187</v>
      </c>
      <c r="D26" s="19">
        <f>SUM(D15:D25)</f>
        <v>-210</v>
      </c>
      <c r="E26" s="19">
        <f>SUM(E15:E25)</f>
        <v>-205</v>
      </c>
      <c r="F26" s="19">
        <f>SUM(F15:F25)</f>
        <v>80</v>
      </c>
      <c r="G26" s="19">
        <f>SUM(G15:G25)</f>
        <v>334</v>
      </c>
    </row>
    <row r="27" spans="1:7" x14ac:dyDescent="0.25">
      <c r="A27" s="18" t="s">
        <v>78</v>
      </c>
      <c r="B27" s="20">
        <f t="shared" si="0"/>
        <v>0.13160264036988856</v>
      </c>
      <c r="C27" s="19">
        <f>+C14+C26</f>
        <v>1729</v>
      </c>
      <c r="D27" s="19">
        <f>+D14+D26</f>
        <v>2793</v>
      </c>
      <c r="E27" s="19">
        <f>+E14+E26</f>
        <v>-433</v>
      </c>
      <c r="F27" s="19">
        <f>+F14+F26</f>
        <v>5986</v>
      </c>
      <c r="G27" s="19">
        <f>+G14+G26</f>
        <v>6981</v>
      </c>
    </row>
    <row r="28" spans="1:7" x14ac:dyDescent="0.25">
      <c r="A28" s="15" t="s">
        <v>79</v>
      </c>
      <c r="B28" s="21">
        <v>0.3</v>
      </c>
      <c r="C28" s="16">
        <v>-446</v>
      </c>
      <c r="D28" s="16">
        <v>-352</v>
      </c>
      <c r="E28" s="16">
        <v>-311</v>
      </c>
      <c r="F28" s="16">
        <v>161</v>
      </c>
      <c r="G28" s="16">
        <v>-1721</v>
      </c>
    </row>
    <row r="29" spans="1:7" x14ac:dyDescent="0.25">
      <c r="A29" s="15" t="s">
        <v>13</v>
      </c>
      <c r="B29" s="15">
        <f>SUM(C29:F29)/4</f>
        <v>-341.75</v>
      </c>
      <c r="C29" s="16">
        <v>-326</v>
      </c>
      <c r="D29" s="16">
        <v>-743</v>
      </c>
      <c r="E29" s="16">
        <v>507</v>
      </c>
      <c r="F29" s="16">
        <v>-805</v>
      </c>
      <c r="G29" s="16"/>
    </row>
    <row r="30" spans="1:7" x14ac:dyDescent="0.25">
      <c r="A30" s="18" t="s">
        <v>80</v>
      </c>
      <c r="B30" s="18"/>
      <c r="C30" s="19">
        <f>SUM(C27:C29)</f>
        <v>957</v>
      </c>
      <c r="D30" s="19">
        <f>SUM(D27:D29)</f>
        <v>1698</v>
      </c>
      <c r="E30" s="19">
        <f>SUM(E27:E29)</f>
        <v>-237</v>
      </c>
      <c r="F30" s="19">
        <f>SUM(F27:F29)</f>
        <v>5342</v>
      </c>
      <c r="G30" s="19">
        <f>SUM(G27:G29)</f>
        <v>5260</v>
      </c>
    </row>
    <row r="31" spans="1:7" x14ac:dyDescent="0.25">
      <c r="A31" s="15" t="s">
        <v>81</v>
      </c>
      <c r="B31" s="15">
        <f>SUM(C31:F31)/4</f>
        <v>-162.25</v>
      </c>
      <c r="C31" s="16">
        <v>-66</v>
      </c>
      <c r="D31" s="16">
        <v>-25</v>
      </c>
      <c r="E31" s="16">
        <v>-17</v>
      </c>
      <c r="F31" s="16">
        <v>-541</v>
      </c>
      <c r="G31" s="16">
        <v>-1551</v>
      </c>
    </row>
    <row r="32" spans="1:7" x14ac:dyDescent="0.25">
      <c r="A32" s="18" t="s">
        <v>82</v>
      </c>
      <c r="B32" s="18"/>
      <c r="C32" s="19">
        <f>SUM(C30:C31)</f>
        <v>891</v>
      </c>
      <c r="D32" s="19">
        <f>SUM(D30:D31)</f>
        <v>1673</v>
      </c>
      <c r="E32" s="19">
        <f>SUM(E30:E31)</f>
        <v>-254</v>
      </c>
      <c r="F32" s="19">
        <f>SUM(F30:F31)</f>
        <v>4801</v>
      </c>
      <c r="G32" s="19">
        <f>SUM(G30:G31)</f>
        <v>3709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3"/>
  <sheetViews>
    <sheetView topLeftCell="A3" workbookViewId="0">
      <selection activeCell="F38" sqref="F38"/>
    </sheetView>
  </sheetViews>
  <sheetFormatPr defaultRowHeight="15" x14ac:dyDescent="0.25"/>
  <cols>
    <col min="6" max="6" width="10.140625" customWidth="1"/>
    <col min="7" max="7" width="17.42578125" bestFit="1" customWidth="1"/>
    <col min="8" max="8" width="10" bestFit="1" customWidth="1"/>
  </cols>
  <sheetData>
    <row r="1" spans="1:8" x14ac:dyDescent="0.25">
      <c r="A1" s="146" t="s">
        <v>354</v>
      </c>
    </row>
    <row r="2" spans="1:8" x14ac:dyDescent="0.25">
      <c r="A2" s="146" t="s">
        <v>355</v>
      </c>
    </row>
    <row r="4" spans="1:8" x14ac:dyDescent="0.25">
      <c r="A4" s="193" t="s">
        <v>488</v>
      </c>
      <c r="B4" s="193"/>
      <c r="C4" s="193"/>
      <c r="D4" s="193"/>
    </row>
    <row r="6" spans="1:8" x14ac:dyDescent="0.25">
      <c r="A6" s="194" t="s">
        <v>286</v>
      </c>
      <c r="B6" s="194" t="s">
        <v>356</v>
      </c>
      <c r="C6" s="194"/>
      <c r="D6" s="194"/>
      <c r="E6" s="194"/>
      <c r="F6" s="194"/>
      <c r="G6" s="194"/>
      <c r="H6" s="194"/>
    </row>
    <row r="7" spans="1:8" ht="30" x14ac:dyDescent="0.25">
      <c r="F7" s="195" t="s">
        <v>357</v>
      </c>
      <c r="G7" s="196" t="s">
        <v>358</v>
      </c>
      <c r="H7" s="196" t="s">
        <v>358</v>
      </c>
    </row>
    <row r="8" spans="1:8" x14ac:dyDescent="0.25">
      <c r="F8" s="146" t="s">
        <v>489</v>
      </c>
      <c r="G8" s="146" t="s">
        <v>490</v>
      </c>
      <c r="H8" s="196" t="s">
        <v>491</v>
      </c>
    </row>
    <row r="9" spans="1:8" x14ac:dyDescent="0.25">
      <c r="A9" t="s">
        <v>359</v>
      </c>
      <c r="G9" s="149">
        <f>'Johnson &amp; Johnson'!G61</f>
        <v>70275</v>
      </c>
      <c r="H9" s="149">
        <f>'Pfizer Inc.'!G72</f>
        <v>100057</v>
      </c>
    </row>
    <row r="10" spans="1:8" x14ac:dyDescent="0.25">
      <c r="A10" t="s">
        <v>360</v>
      </c>
      <c r="F10" s="197">
        <f>'Valuation Models'!C38</f>
        <v>1776.1565441773155</v>
      </c>
      <c r="G10" s="197">
        <f>'Johnson &amp; Johnson'!C27</f>
        <v>15298.6</v>
      </c>
      <c r="H10" s="197">
        <f>'Pfizer Inc.'!C33</f>
        <v>6735.2</v>
      </c>
    </row>
    <row r="11" spans="1:8" x14ac:dyDescent="0.25">
      <c r="A11" t="s">
        <v>361</v>
      </c>
      <c r="F11" s="198">
        <f>'Forecasted Financial Ratios'!E14/1000</f>
        <v>2210</v>
      </c>
      <c r="G11" s="199">
        <f>'Johnson &amp; Johnson'!I36</f>
        <v>102.72</v>
      </c>
      <c r="H11" s="199">
        <f>'Pfizer Inc.'!I47</f>
        <v>6176</v>
      </c>
    </row>
    <row r="13" spans="1:8" x14ac:dyDescent="0.25">
      <c r="A13" t="s">
        <v>362</v>
      </c>
      <c r="F13" s="200">
        <f>AVERAGE(G13:H13)</f>
        <v>9.7246948134967734</v>
      </c>
      <c r="G13" s="201">
        <f>+G9/G10</f>
        <v>4.5935575804321962</v>
      </c>
      <c r="H13" s="201">
        <f>+H9/H10</f>
        <v>14.85583204656135</v>
      </c>
    </row>
    <row r="14" spans="1:8" x14ac:dyDescent="0.25">
      <c r="A14" t="s">
        <v>363</v>
      </c>
      <c r="F14" s="149">
        <f>+F10*F13</f>
        <v>17272.580333119491</v>
      </c>
    </row>
    <row r="15" spans="1:8" ht="15.75" thickBot="1" x14ac:dyDescent="0.3">
      <c r="A15" t="s">
        <v>364</v>
      </c>
      <c r="F15" s="149">
        <f>F14-'Forecasted Financial Ratios'!H53</f>
        <v>20289.947078045538</v>
      </c>
    </row>
    <row r="16" spans="1:8" ht="15.75" thickBot="1" x14ac:dyDescent="0.3">
      <c r="A16" s="146" t="s">
        <v>365</v>
      </c>
      <c r="B16" s="146"/>
      <c r="C16" s="146"/>
      <c r="D16" s="146"/>
      <c r="E16" s="146"/>
      <c r="F16" s="202">
        <f>+F15/F11</f>
        <v>9.1809715285273921</v>
      </c>
    </row>
    <row r="18" spans="1:13" x14ac:dyDescent="0.25">
      <c r="A18" s="194" t="s">
        <v>366</v>
      </c>
      <c r="B18" s="194" t="s">
        <v>367</v>
      </c>
      <c r="C18" s="194"/>
      <c r="D18" s="194"/>
      <c r="E18" s="194"/>
      <c r="F18" s="194"/>
      <c r="G18" s="194"/>
      <c r="H18" s="194"/>
    </row>
    <row r="19" spans="1:13" ht="30" x14ac:dyDescent="0.25">
      <c r="F19" s="195" t="s">
        <v>357</v>
      </c>
      <c r="G19" s="196" t="s">
        <v>358</v>
      </c>
      <c r="H19" s="196" t="s">
        <v>358</v>
      </c>
    </row>
    <row r="20" spans="1:13" ht="15.75" thickBot="1" x14ac:dyDescent="0.3">
      <c r="F20" s="146" t="s">
        <v>489</v>
      </c>
      <c r="G20" s="146" t="s">
        <v>490</v>
      </c>
      <c r="H20" s="196" t="s">
        <v>491</v>
      </c>
    </row>
    <row r="21" spans="1:13" ht="15.75" thickBot="1" x14ac:dyDescent="0.3">
      <c r="A21" t="s">
        <v>492</v>
      </c>
      <c r="F21" s="203">
        <v>57.3</v>
      </c>
      <c r="G21" s="203">
        <v>128.43</v>
      </c>
      <c r="H21" s="203">
        <v>34.35</v>
      </c>
      <c r="J21" s="204" t="s">
        <v>493</v>
      </c>
      <c r="K21" s="205"/>
      <c r="L21" s="205"/>
      <c r="M21" s="206"/>
    </row>
    <row r="22" spans="1:13" x14ac:dyDescent="0.25">
      <c r="A22" t="s">
        <v>369</v>
      </c>
      <c r="G22" s="149">
        <f>(+G21*G24)</f>
        <v>23328.855885240002</v>
      </c>
      <c r="H22" s="149">
        <f>(+H21*H24)</f>
        <v>4488.6959710500005</v>
      </c>
    </row>
    <row r="23" spans="1:13" x14ac:dyDescent="0.25">
      <c r="A23" t="s">
        <v>147</v>
      </c>
      <c r="F23" s="197">
        <f>'Forecasted Income Statement'!B30</f>
        <v>957</v>
      </c>
      <c r="G23" s="197">
        <f>'Johnson &amp; Johnson'!C18</f>
        <v>15409</v>
      </c>
      <c r="H23" s="197">
        <f>'Pfizer Inc.'!C22</f>
        <v>6960</v>
      </c>
    </row>
    <row r="24" spans="1:13" x14ac:dyDescent="0.25">
      <c r="A24" t="s">
        <v>361</v>
      </c>
      <c r="F24" s="198">
        <f>+F11</f>
        <v>2210</v>
      </c>
      <c r="G24" s="199">
        <f>+'[1]Under Armour'!$H$30/1000000</f>
        <v>181.646468</v>
      </c>
      <c r="H24" s="199">
        <f>+[1]Skechers!$H$31/1000000</f>
        <v>130.67528300000001</v>
      </c>
    </row>
    <row r="26" spans="1:13" x14ac:dyDescent="0.25">
      <c r="A26" t="s">
        <v>370</v>
      </c>
      <c r="F26" s="200">
        <f>AVERAGE(G26:H26)</f>
        <v>1.0794517813293725</v>
      </c>
      <c r="G26" s="201">
        <f>+G22/G23</f>
        <v>1.5139759806113311</v>
      </c>
      <c r="H26" s="201">
        <f>+H22/H23</f>
        <v>0.64492758204741385</v>
      </c>
    </row>
    <row r="27" spans="1:13" ht="15.75" thickBot="1" x14ac:dyDescent="0.3">
      <c r="A27" t="s">
        <v>371</v>
      </c>
      <c r="F27" s="149">
        <f>+F23*F26</f>
        <v>1033.0353547322095</v>
      </c>
    </row>
    <row r="28" spans="1:13" ht="15.75" thickBot="1" x14ac:dyDescent="0.3">
      <c r="A28" s="146" t="s">
        <v>365</v>
      </c>
      <c r="B28" s="146"/>
      <c r="C28" s="146"/>
      <c r="D28" s="146"/>
      <c r="E28" s="146"/>
      <c r="F28" s="202">
        <f>+F27/F24</f>
        <v>0.46743681209602239</v>
      </c>
    </row>
    <row r="29" spans="1:13" x14ac:dyDescent="0.25">
      <c r="F29" s="201"/>
    </row>
    <row r="30" spans="1:13" x14ac:dyDescent="0.25">
      <c r="A30" s="194" t="s">
        <v>372</v>
      </c>
      <c r="B30" s="194" t="s">
        <v>373</v>
      </c>
      <c r="C30" s="194"/>
      <c r="D30" s="194"/>
      <c r="E30" s="194"/>
      <c r="F30" s="194"/>
      <c r="G30" s="194"/>
      <c r="H30" s="194"/>
    </row>
    <row r="31" spans="1:13" ht="30" x14ac:dyDescent="0.25">
      <c r="F31" s="195" t="s">
        <v>357</v>
      </c>
      <c r="G31" s="196" t="s">
        <v>358</v>
      </c>
      <c r="H31" s="196" t="s">
        <v>358</v>
      </c>
    </row>
    <row r="32" spans="1:13" ht="15.75" thickBot="1" x14ac:dyDescent="0.3">
      <c r="F32" s="146" t="s">
        <v>489</v>
      </c>
      <c r="G32" s="146" t="s">
        <v>490</v>
      </c>
      <c r="H32" s="196" t="s">
        <v>491</v>
      </c>
    </row>
    <row r="33" spans="1:13" ht="15.75" thickBot="1" x14ac:dyDescent="0.3">
      <c r="A33" t="s">
        <v>492</v>
      </c>
      <c r="F33" s="203">
        <v>57.3</v>
      </c>
      <c r="G33" s="203">
        <v>128.43</v>
      </c>
      <c r="H33" s="203">
        <v>34.35</v>
      </c>
      <c r="J33" s="204" t="s">
        <v>493</v>
      </c>
      <c r="K33" s="205"/>
      <c r="L33" s="205"/>
      <c r="M33" s="206"/>
    </row>
    <row r="34" spans="1:13" x14ac:dyDescent="0.25">
      <c r="A34" t="s">
        <v>374</v>
      </c>
      <c r="G34" s="149">
        <f>+G9</f>
        <v>70275</v>
      </c>
      <c r="H34" s="149">
        <f>+H9</f>
        <v>100057</v>
      </c>
    </row>
    <row r="35" spans="1:13" x14ac:dyDescent="0.25">
      <c r="A35" t="s">
        <v>375</v>
      </c>
      <c r="F35" s="197">
        <f>'Forecasted Financial Ratios'!H38</f>
        <v>5389.3763003795866</v>
      </c>
      <c r="G35" s="197">
        <f>'Johnson &amp; Johnson'!I34</f>
        <v>22688</v>
      </c>
      <c r="H35" s="197">
        <f>'Pfizer Inc.'!I45</f>
        <v>22549</v>
      </c>
    </row>
    <row r="36" spans="1:13" x14ac:dyDescent="0.25">
      <c r="A36" t="s">
        <v>361</v>
      </c>
      <c r="F36" s="198">
        <f>+F24</f>
        <v>2210</v>
      </c>
      <c r="G36" s="199">
        <f>G24</f>
        <v>181.646468</v>
      </c>
      <c r="H36" s="199">
        <f>H24</f>
        <v>130.67528300000001</v>
      </c>
    </row>
    <row r="38" spans="1:13" x14ac:dyDescent="0.25">
      <c r="A38" t="s">
        <v>376</v>
      </c>
      <c r="F38" s="200">
        <f>AVERAGE(G38:H38)</f>
        <v>3.767383345530039</v>
      </c>
      <c r="G38" s="201">
        <f>+G34/G35</f>
        <v>3.0974523977433006</v>
      </c>
      <c r="H38" s="201">
        <f>+H34/H35</f>
        <v>4.4373142933167768</v>
      </c>
    </row>
    <row r="39" spans="1:13" x14ac:dyDescent="0.25">
      <c r="A39" t="s">
        <v>363</v>
      </c>
      <c r="F39" s="149">
        <f>F14</f>
        <v>17272.580333119491</v>
      </c>
    </row>
    <row r="40" spans="1:13" ht="15.75" thickBot="1" x14ac:dyDescent="0.3">
      <c r="A40" t="s">
        <v>364</v>
      </c>
      <c r="F40" s="149">
        <f>F15</f>
        <v>20289.947078045538</v>
      </c>
    </row>
    <row r="41" spans="1:13" ht="15.75" thickBot="1" x14ac:dyDescent="0.3">
      <c r="A41" s="146" t="s">
        <v>365</v>
      </c>
      <c r="B41" s="146"/>
      <c r="C41" s="146"/>
      <c r="D41" s="146"/>
      <c r="E41" s="146"/>
      <c r="F41" s="202">
        <f>+F40/F36</f>
        <v>9.1809715285273921</v>
      </c>
    </row>
    <row r="43" spans="1:13" x14ac:dyDescent="0.25">
      <c r="A43" s="194" t="s">
        <v>377</v>
      </c>
      <c r="B43" s="194" t="s">
        <v>378</v>
      </c>
      <c r="C43" s="194"/>
      <c r="D43" s="194"/>
      <c r="E43" s="194"/>
      <c r="F43" s="194"/>
      <c r="G43" s="194"/>
      <c r="H43" s="194"/>
    </row>
    <row r="44" spans="1:13" ht="30" x14ac:dyDescent="0.25">
      <c r="F44" s="195" t="s">
        <v>357</v>
      </c>
      <c r="G44" s="196" t="s">
        <v>358</v>
      </c>
      <c r="H44" s="196" t="s">
        <v>358</v>
      </c>
    </row>
    <row r="45" spans="1:13" ht="15.75" thickBot="1" x14ac:dyDescent="0.3">
      <c r="F45" s="146" t="s">
        <v>489</v>
      </c>
      <c r="G45" s="146" t="s">
        <v>490</v>
      </c>
      <c r="H45" s="196" t="s">
        <v>491</v>
      </c>
    </row>
    <row r="46" spans="1:13" ht="15.75" thickBot="1" x14ac:dyDescent="0.3">
      <c r="A46" t="s">
        <v>492</v>
      </c>
      <c r="F46" s="203">
        <v>57.3</v>
      </c>
      <c r="G46" s="203">
        <v>128.43</v>
      </c>
      <c r="H46" s="203">
        <v>34.35</v>
      </c>
      <c r="J46" s="204" t="s">
        <v>368</v>
      </c>
      <c r="K46" s="205"/>
      <c r="L46" s="205"/>
      <c r="M46" s="206"/>
    </row>
    <row r="47" spans="1:13" x14ac:dyDescent="0.25">
      <c r="A47" t="s">
        <v>369</v>
      </c>
      <c r="G47" s="149">
        <f>(+G46*G49)</f>
        <v>23328.855885240002</v>
      </c>
      <c r="H47" s="149">
        <f>(+H46*H49)</f>
        <v>4488.6959710500005</v>
      </c>
    </row>
    <row r="48" spans="1:13" x14ac:dyDescent="0.25">
      <c r="A48" t="s">
        <v>379</v>
      </c>
      <c r="F48" s="197">
        <f>'Forecasted Balance Sheet'!D62</f>
        <v>15281.5</v>
      </c>
      <c r="G48" s="197">
        <f>'Johnson &amp; Johnson'!F61</f>
        <v>71150</v>
      </c>
      <c r="H48" s="197">
        <f>'Pfizer Inc.'!F72</f>
        <v>64720</v>
      </c>
    </row>
    <row r="49" spans="1:13" x14ac:dyDescent="0.25">
      <c r="A49" t="s">
        <v>361</v>
      </c>
      <c r="F49" s="198">
        <f>+F36</f>
        <v>2210</v>
      </c>
      <c r="G49" s="199">
        <f>+'[1]Under Armour'!$H$30/1000000</f>
        <v>181.646468</v>
      </c>
      <c r="H49" s="199">
        <f>+[1]Skechers!$H$31/1000000</f>
        <v>130.67528300000001</v>
      </c>
    </row>
    <row r="51" spans="1:13" x14ac:dyDescent="0.25">
      <c r="A51" t="s">
        <v>380</v>
      </c>
      <c r="F51" s="200">
        <f>AVERAGE(G51:H51)</f>
        <v>0.19861917440053573</v>
      </c>
      <c r="G51" s="201">
        <f>+G47/G48</f>
        <v>0.32788272502094168</v>
      </c>
      <c r="H51" s="201">
        <f>+H47/H48</f>
        <v>6.9355623780129799E-2</v>
      </c>
    </row>
    <row r="52" spans="1:13" ht="15.75" thickBot="1" x14ac:dyDescent="0.3">
      <c r="A52" t="s">
        <v>381</v>
      </c>
      <c r="F52" s="149">
        <f>+F48*F51</f>
        <v>3035.1989136017869</v>
      </c>
    </row>
    <row r="53" spans="1:13" ht="15.75" thickBot="1" x14ac:dyDescent="0.3">
      <c r="A53" s="146" t="s">
        <v>365</v>
      </c>
      <c r="B53" s="146"/>
      <c r="C53" s="146"/>
      <c r="D53" s="146"/>
      <c r="E53" s="146"/>
      <c r="F53" s="202">
        <f>+F52/F49</f>
        <v>1.3733931735754692</v>
      </c>
    </row>
    <row r="55" spans="1:13" x14ac:dyDescent="0.25">
      <c r="A55" s="194" t="s">
        <v>382</v>
      </c>
      <c r="B55" s="194"/>
      <c r="C55" s="194"/>
      <c r="D55" s="194"/>
      <c r="E55" s="194"/>
      <c r="F55" s="194"/>
      <c r="G55" s="194"/>
      <c r="H55" s="194"/>
    </row>
    <row r="57" spans="1:13" x14ac:dyDescent="0.25">
      <c r="A57" t="s">
        <v>383</v>
      </c>
    </row>
    <row r="58" spans="1:13" ht="15.75" thickBot="1" x14ac:dyDescent="0.3"/>
    <row r="59" spans="1:13" ht="15.75" thickBot="1" x14ac:dyDescent="0.3">
      <c r="A59" t="s">
        <v>492</v>
      </c>
      <c r="F59" s="203">
        <v>57.3</v>
      </c>
      <c r="J59" s="204" t="s">
        <v>368</v>
      </c>
      <c r="K59" s="205"/>
      <c r="L59" s="205"/>
      <c r="M59" s="206"/>
    </row>
    <row r="61" spans="1:13" x14ac:dyDescent="0.25">
      <c r="A61" t="s">
        <v>133</v>
      </c>
      <c r="F61" s="201">
        <f>'Forecasted Financial Ratios'!H13</f>
        <v>0.38927527892376107</v>
      </c>
    </row>
    <row r="63" spans="1:13" x14ac:dyDescent="0.25">
      <c r="A63" s="146" t="s">
        <v>384</v>
      </c>
      <c r="B63" s="146"/>
      <c r="C63" s="146"/>
      <c r="D63" s="146"/>
      <c r="E63" s="146"/>
      <c r="F63" s="207">
        <f>+F59/F61</f>
        <v>147.19660636662752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topLeftCell="B1" workbookViewId="0">
      <selection activeCell="I2" sqref="I2:I3"/>
    </sheetView>
  </sheetViews>
  <sheetFormatPr defaultRowHeight="15.75" x14ac:dyDescent="0.25"/>
  <cols>
    <col min="1" max="1" width="9.140625" style="209"/>
    <col min="2" max="2" width="45.5703125" style="209" customWidth="1"/>
    <col min="3" max="3" width="12.5703125" style="243" customWidth="1"/>
    <col min="4" max="4" width="9.140625" style="209"/>
    <col min="5" max="5" width="46.85546875" style="209" bestFit="1" customWidth="1"/>
    <col min="6" max="6" width="10.5703125" style="209" customWidth="1"/>
    <col min="7" max="7" width="9.140625" style="209"/>
    <col min="8" max="8" width="39.85546875" style="209" customWidth="1"/>
    <col min="9" max="9" width="11.28515625" style="209" customWidth="1"/>
    <col min="10" max="16384" width="9.140625" style="209"/>
  </cols>
  <sheetData>
    <row r="1" spans="2:9" x14ac:dyDescent="0.25">
      <c r="B1" s="208" t="s">
        <v>401</v>
      </c>
      <c r="C1" s="208"/>
      <c r="E1" s="208" t="s">
        <v>405</v>
      </c>
      <c r="F1" s="208"/>
      <c r="H1" s="208" t="s">
        <v>441</v>
      </c>
    </row>
    <row r="2" spans="2:9" ht="47.25" x14ac:dyDescent="0.25">
      <c r="B2" s="266" t="s">
        <v>404</v>
      </c>
      <c r="C2" s="210" t="s">
        <v>402</v>
      </c>
      <c r="E2" s="266" t="s">
        <v>404</v>
      </c>
      <c r="F2" s="210" t="s">
        <v>402</v>
      </c>
      <c r="H2" s="266" t="s">
        <v>440</v>
      </c>
      <c r="I2" s="268" t="s">
        <v>403</v>
      </c>
    </row>
    <row r="3" spans="2:9" ht="31.5" x14ac:dyDescent="0.25">
      <c r="B3" s="267"/>
      <c r="C3" s="210" t="s">
        <v>403</v>
      </c>
      <c r="E3" s="267"/>
      <c r="F3" s="210" t="s">
        <v>403</v>
      </c>
      <c r="H3" s="266"/>
      <c r="I3" s="268"/>
    </row>
    <row r="4" spans="2:9" x14ac:dyDescent="0.25">
      <c r="B4" s="212" t="s">
        <v>385</v>
      </c>
      <c r="C4" s="213">
        <v>35687</v>
      </c>
      <c r="E4" s="212" t="s">
        <v>385</v>
      </c>
      <c r="F4" s="213">
        <v>35687</v>
      </c>
      <c r="H4" s="214" t="s">
        <v>407</v>
      </c>
      <c r="I4" s="215"/>
    </row>
    <row r="5" spans="2:9" ht="16.5" thickBot="1" x14ac:dyDescent="0.3">
      <c r="B5" s="212" t="s">
        <v>386</v>
      </c>
      <c r="C5" s="216">
        <v>34387</v>
      </c>
      <c r="E5" s="212" t="s">
        <v>386</v>
      </c>
      <c r="F5" s="216">
        <v>34387</v>
      </c>
      <c r="H5" s="214" t="s">
        <v>14</v>
      </c>
      <c r="I5" s="215"/>
    </row>
    <row r="6" spans="2:9" ht="32.25" thickBot="1" x14ac:dyDescent="0.3">
      <c r="B6" s="217" t="s">
        <v>387</v>
      </c>
      <c r="C6" s="218">
        <v>70074</v>
      </c>
      <c r="E6" s="217" t="s">
        <v>387</v>
      </c>
      <c r="F6" s="218">
        <v>70074</v>
      </c>
      <c r="H6" s="219" t="s">
        <v>408</v>
      </c>
      <c r="I6" s="220"/>
    </row>
    <row r="7" spans="2:9" ht="16.5" thickTop="1" x14ac:dyDescent="0.25">
      <c r="B7" s="212" t="s">
        <v>61</v>
      </c>
      <c r="C7" s="221">
        <v>21536</v>
      </c>
      <c r="E7" s="212" t="s">
        <v>61</v>
      </c>
      <c r="F7" s="221">
        <v>21536</v>
      </c>
      <c r="H7" s="214"/>
      <c r="I7" s="222"/>
    </row>
    <row r="8" spans="2:9" ht="31.5" x14ac:dyDescent="0.25">
      <c r="B8" s="212" t="s">
        <v>388</v>
      </c>
      <c r="C8" s="216">
        <v>21203</v>
      </c>
      <c r="E8" s="212" t="s">
        <v>388</v>
      </c>
      <c r="F8" s="216">
        <v>21203</v>
      </c>
      <c r="H8" s="219" t="s">
        <v>410</v>
      </c>
      <c r="I8" s="215"/>
    </row>
    <row r="9" spans="2:9" x14ac:dyDescent="0.25">
      <c r="B9" s="212" t="s">
        <v>389</v>
      </c>
      <c r="C9" s="216">
        <v>9046</v>
      </c>
      <c r="E9" s="212" t="s">
        <v>389</v>
      </c>
      <c r="F9" s="216">
        <v>9046</v>
      </c>
      <c r="H9" s="214" t="s">
        <v>411</v>
      </c>
      <c r="I9" s="222">
        <v>10734</v>
      </c>
    </row>
    <row r="10" spans="2:9" x14ac:dyDescent="0.25">
      <c r="B10" s="212" t="s">
        <v>390</v>
      </c>
      <c r="C10" s="223">
        <v>224</v>
      </c>
      <c r="E10" s="212" t="s">
        <v>390</v>
      </c>
      <c r="F10" s="223">
        <v>224</v>
      </c>
      <c r="H10" s="214" t="s">
        <v>412</v>
      </c>
      <c r="I10" s="222">
        <v>8053</v>
      </c>
    </row>
    <row r="11" spans="2:9" x14ac:dyDescent="0.25">
      <c r="B11" s="224" t="s">
        <v>68</v>
      </c>
      <c r="C11" s="223">
        <v>-128</v>
      </c>
      <c r="E11" s="224" t="s">
        <v>68</v>
      </c>
      <c r="F11" s="223">
        <v>-128</v>
      </c>
      <c r="H11" s="214"/>
      <c r="I11" s="222"/>
    </row>
    <row r="12" spans="2:9" x14ac:dyDescent="0.25">
      <c r="B12" s="212" t="s">
        <v>391</v>
      </c>
      <c r="C12" s="223">
        <v>552</v>
      </c>
      <c r="E12" s="212" t="s">
        <v>391</v>
      </c>
      <c r="F12" s="223">
        <v>552</v>
      </c>
      <c r="H12" s="214"/>
      <c r="I12" s="222"/>
    </row>
    <row r="13" spans="2:9" x14ac:dyDescent="0.25">
      <c r="B13" s="212" t="s">
        <v>392</v>
      </c>
      <c r="C13" s="216">
        <v>-2064</v>
      </c>
      <c r="E13" s="212" t="s">
        <v>392</v>
      </c>
      <c r="F13" s="216">
        <v>-2064</v>
      </c>
      <c r="H13" s="214" t="s">
        <v>415</v>
      </c>
      <c r="I13" s="222">
        <v>15905</v>
      </c>
    </row>
    <row r="14" spans="2:9" ht="16.5" thickBot="1" x14ac:dyDescent="0.3">
      <c r="B14" s="212" t="s">
        <v>393</v>
      </c>
      <c r="C14" s="223">
        <v>509</v>
      </c>
      <c r="E14" s="212" t="s">
        <v>393</v>
      </c>
      <c r="F14" s="223">
        <v>509</v>
      </c>
      <c r="H14" s="214" t="s">
        <v>416</v>
      </c>
      <c r="I14" s="222">
        <v>25764</v>
      </c>
    </row>
    <row r="15" spans="2:9" ht="16.5" thickBot="1" x14ac:dyDescent="0.3">
      <c r="B15" s="212" t="s">
        <v>396</v>
      </c>
      <c r="C15" s="218">
        <v>50878</v>
      </c>
      <c r="E15" s="212" t="s">
        <v>396</v>
      </c>
      <c r="F15" s="218">
        <v>50878</v>
      </c>
      <c r="H15" s="214"/>
      <c r="I15" s="222"/>
    </row>
    <row r="16" spans="2:9" x14ac:dyDescent="0.25">
      <c r="B16" s="212" t="s">
        <v>394</v>
      </c>
      <c r="C16" s="225">
        <v>19196</v>
      </c>
      <c r="E16" s="212" t="s">
        <v>394</v>
      </c>
      <c r="F16" s="225">
        <v>19196</v>
      </c>
      <c r="H16" s="214"/>
      <c r="I16" s="222"/>
    </row>
    <row r="17" spans="2:9" ht="16.5" thickBot="1" x14ac:dyDescent="0.3">
      <c r="B17" s="212" t="s">
        <v>395</v>
      </c>
      <c r="C17" s="216">
        <v>3787</v>
      </c>
      <c r="E17" s="212" t="s">
        <v>395</v>
      </c>
      <c r="F17" s="216">
        <v>3787</v>
      </c>
      <c r="G17" s="226"/>
      <c r="H17" s="214" t="s">
        <v>18</v>
      </c>
      <c r="I17" s="222">
        <v>4413</v>
      </c>
    </row>
    <row r="18" spans="2:9" x14ac:dyDescent="0.25">
      <c r="B18" s="217" t="s">
        <v>80</v>
      </c>
      <c r="C18" s="218">
        <v>15409</v>
      </c>
      <c r="E18" s="217" t="s">
        <v>80</v>
      </c>
      <c r="F18" s="218">
        <v>15409</v>
      </c>
      <c r="H18" s="214" t="s">
        <v>21</v>
      </c>
      <c r="I18" s="220">
        <f>SUM(I9:I17)</f>
        <v>64869</v>
      </c>
    </row>
    <row r="19" spans="2:9" x14ac:dyDescent="0.25">
      <c r="B19" s="217"/>
      <c r="C19" s="227"/>
      <c r="D19" s="228"/>
      <c r="H19" s="219" t="s">
        <v>419</v>
      </c>
      <c r="I19" s="215"/>
    </row>
    <row r="20" spans="2:9" ht="31.5" x14ac:dyDescent="0.25">
      <c r="B20" s="229" t="s">
        <v>397</v>
      </c>
      <c r="C20" s="230">
        <f>C16</f>
        <v>19196</v>
      </c>
      <c r="D20" s="228"/>
      <c r="E20" s="211" t="s">
        <v>440</v>
      </c>
      <c r="F20" s="210" t="s">
        <v>403</v>
      </c>
      <c r="H20" s="214" t="s">
        <v>38</v>
      </c>
      <c r="I20" s="215"/>
    </row>
    <row r="21" spans="2:9" x14ac:dyDescent="0.25">
      <c r="B21" s="231"/>
      <c r="C21" s="232"/>
      <c r="D21" s="228"/>
      <c r="E21" s="214" t="s">
        <v>407</v>
      </c>
      <c r="F21" s="215"/>
      <c r="H21" s="219" t="s">
        <v>420</v>
      </c>
      <c r="I21" s="233">
        <v>7004</v>
      </c>
    </row>
    <row r="22" spans="2:9" x14ac:dyDescent="0.25">
      <c r="B22" s="229" t="s">
        <v>398</v>
      </c>
      <c r="C22" s="234">
        <f>C17</f>
        <v>3787</v>
      </c>
      <c r="D22" s="228"/>
      <c r="E22" s="214" t="s">
        <v>14</v>
      </c>
      <c r="F22" s="215"/>
      <c r="H22" s="214" t="s">
        <v>23</v>
      </c>
      <c r="I22" s="222">
        <v>6668</v>
      </c>
    </row>
    <row r="23" spans="2:9" x14ac:dyDescent="0.25">
      <c r="B23" s="229" t="s">
        <v>399</v>
      </c>
      <c r="C23" s="234">
        <f>C12*0.2</f>
        <v>110.4</v>
      </c>
      <c r="D23" s="228"/>
      <c r="E23" s="219" t="s">
        <v>408</v>
      </c>
      <c r="F23" s="220">
        <v>13732</v>
      </c>
      <c r="H23" s="214" t="s">
        <v>421</v>
      </c>
      <c r="I23" s="222">
        <v>5411</v>
      </c>
    </row>
    <row r="24" spans="2:9" s="236" customFormat="1" x14ac:dyDescent="0.25">
      <c r="B24" s="229" t="s">
        <v>400</v>
      </c>
      <c r="C24" s="235">
        <v>0</v>
      </c>
      <c r="D24" s="228"/>
      <c r="E24" s="214" t="s">
        <v>409</v>
      </c>
      <c r="F24" s="222">
        <v>24644</v>
      </c>
      <c r="H24" s="214"/>
      <c r="I24" s="222"/>
    </row>
    <row r="25" spans="2:9" s="236" customFormat="1" ht="31.5" x14ac:dyDescent="0.25">
      <c r="B25" s="229" t="s">
        <v>168</v>
      </c>
      <c r="C25" s="230">
        <f>SUM(C22:C24)</f>
        <v>3897.4</v>
      </c>
      <c r="D25" s="228"/>
      <c r="E25" s="219" t="s">
        <v>410</v>
      </c>
      <c r="F25" s="215"/>
      <c r="H25" s="214"/>
      <c r="I25" s="222"/>
    </row>
    <row r="26" spans="2:9" s="236" customFormat="1" ht="16.5" thickBot="1" x14ac:dyDescent="0.3">
      <c r="B26" s="208"/>
      <c r="C26" s="232"/>
      <c r="D26" s="228"/>
      <c r="E26" s="214" t="s">
        <v>411</v>
      </c>
      <c r="F26" s="222">
        <v>10734</v>
      </c>
      <c r="H26" s="214"/>
      <c r="I26" s="222"/>
    </row>
    <row r="27" spans="2:9" s="236" customFormat="1" ht="16.5" thickBot="1" x14ac:dyDescent="0.3">
      <c r="B27" s="237" t="s">
        <v>180</v>
      </c>
      <c r="C27" s="238">
        <f>+C20-C25</f>
        <v>15298.6</v>
      </c>
      <c r="D27" s="228"/>
      <c r="E27" s="214" t="s">
        <v>412</v>
      </c>
      <c r="F27" s="222">
        <v>8053</v>
      </c>
      <c r="H27" s="214"/>
      <c r="I27" s="239"/>
    </row>
    <row r="28" spans="2:9" s="236" customFormat="1" x14ac:dyDescent="0.25">
      <c r="B28" s="240"/>
      <c r="C28" s="241"/>
      <c r="D28" s="228"/>
      <c r="E28" s="214" t="s">
        <v>413</v>
      </c>
      <c r="F28" s="222">
        <v>3047</v>
      </c>
      <c r="H28" s="214" t="s">
        <v>426</v>
      </c>
      <c r="I28" s="242">
        <v>12857</v>
      </c>
    </row>
    <row r="29" spans="2:9" x14ac:dyDescent="0.25">
      <c r="E29" s="214" t="s">
        <v>414</v>
      </c>
      <c r="F29" s="222">
        <v>60210</v>
      </c>
      <c r="H29" s="214"/>
      <c r="I29" s="222"/>
    </row>
    <row r="30" spans="2:9" x14ac:dyDescent="0.25">
      <c r="E30" s="214" t="s">
        <v>415</v>
      </c>
      <c r="F30" s="222">
        <v>15905</v>
      </c>
      <c r="H30" s="214"/>
      <c r="I30" s="222"/>
    </row>
    <row r="31" spans="2:9" x14ac:dyDescent="0.25">
      <c r="E31" s="214" t="s">
        <v>416</v>
      </c>
      <c r="F31" s="222">
        <v>25764</v>
      </c>
      <c r="H31" s="214" t="s">
        <v>40</v>
      </c>
      <c r="I31" s="222">
        <v>10241</v>
      </c>
    </row>
    <row r="32" spans="2:9" x14ac:dyDescent="0.25">
      <c r="E32" s="214" t="s">
        <v>417</v>
      </c>
      <c r="F32" s="222">
        <v>21629</v>
      </c>
      <c r="H32" s="214" t="s">
        <v>44</v>
      </c>
      <c r="I32" s="244">
        <f>SUM(I21:I31)</f>
        <v>42181</v>
      </c>
    </row>
    <row r="33" spans="5:9" x14ac:dyDescent="0.25">
      <c r="E33" s="214" t="s">
        <v>418</v>
      </c>
      <c r="F33" s="222">
        <v>5490</v>
      </c>
      <c r="H33" s="214"/>
      <c r="I33" s="215"/>
    </row>
    <row r="34" spans="5:9" x14ac:dyDescent="0.25">
      <c r="E34" s="214" t="s">
        <v>18</v>
      </c>
      <c r="F34" s="222">
        <v>4413</v>
      </c>
      <c r="H34" s="245" t="s">
        <v>375</v>
      </c>
      <c r="I34" s="246">
        <f>I18-I32</f>
        <v>22688</v>
      </c>
    </row>
    <row r="35" spans="5:9" x14ac:dyDescent="0.25">
      <c r="E35" s="214" t="s">
        <v>21</v>
      </c>
      <c r="F35" s="233">
        <v>133411</v>
      </c>
      <c r="H35" s="245"/>
      <c r="I35" s="247"/>
    </row>
    <row r="36" spans="5:9" x14ac:dyDescent="0.25">
      <c r="E36" s="219" t="s">
        <v>419</v>
      </c>
      <c r="F36" s="215"/>
      <c r="H36" s="245" t="s">
        <v>442</v>
      </c>
      <c r="I36" s="248">
        <v>102.72</v>
      </c>
    </row>
    <row r="37" spans="5:9" x14ac:dyDescent="0.25">
      <c r="E37" s="214" t="s">
        <v>38</v>
      </c>
      <c r="F37" s="215"/>
      <c r="H37" s="245"/>
      <c r="I37" s="249"/>
    </row>
    <row r="38" spans="5:9" x14ac:dyDescent="0.25">
      <c r="E38" s="219" t="s">
        <v>420</v>
      </c>
      <c r="F38" s="233">
        <v>7004</v>
      </c>
      <c r="H38" s="219"/>
      <c r="I38" s="222"/>
    </row>
    <row r="39" spans="5:9" x14ac:dyDescent="0.25">
      <c r="E39" s="214" t="s">
        <v>23</v>
      </c>
      <c r="F39" s="222">
        <v>6668</v>
      </c>
      <c r="H39" s="219"/>
      <c r="I39" s="222"/>
    </row>
    <row r="40" spans="5:9" x14ac:dyDescent="0.25">
      <c r="E40" s="214" t="s">
        <v>421</v>
      </c>
      <c r="F40" s="222">
        <v>5411</v>
      </c>
      <c r="H40" s="219"/>
      <c r="I40" s="222"/>
    </row>
    <row r="41" spans="5:9" x14ac:dyDescent="0.25">
      <c r="E41" s="214" t="s">
        <v>422</v>
      </c>
      <c r="F41" s="222">
        <v>5440</v>
      </c>
      <c r="H41" s="219"/>
      <c r="I41" s="222"/>
    </row>
    <row r="42" spans="5:9" x14ac:dyDescent="0.25">
      <c r="E42" s="214" t="s">
        <v>423</v>
      </c>
      <c r="F42" s="222">
        <v>2474</v>
      </c>
      <c r="H42" s="219"/>
      <c r="I42" s="250"/>
    </row>
    <row r="43" spans="5:9" x14ac:dyDescent="0.25">
      <c r="E43" s="214" t="s">
        <v>424</v>
      </c>
      <c r="F43" s="222">
        <v>750</v>
      </c>
      <c r="H43" s="219"/>
      <c r="I43" s="242"/>
    </row>
    <row r="44" spans="5:9" x14ac:dyDescent="0.25">
      <c r="E44" s="214" t="s">
        <v>425</v>
      </c>
      <c r="F44" s="239">
        <v>27747</v>
      </c>
      <c r="H44" s="219"/>
      <c r="I44" s="242"/>
    </row>
    <row r="45" spans="5:9" x14ac:dyDescent="0.25">
      <c r="E45" s="214" t="s">
        <v>426</v>
      </c>
      <c r="F45" s="244">
        <v>12857</v>
      </c>
      <c r="H45" s="219"/>
      <c r="I45" s="251"/>
    </row>
    <row r="46" spans="5:9" x14ac:dyDescent="0.25">
      <c r="E46" s="214" t="s">
        <v>427</v>
      </c>
      <c r="F46" s="222">
        <v>2562</v>
      </c>
    </row>
    <row r="47" spans="5:9" x14ac:dyDescent="0.25">
      <c r="E47" s="214" t="s">
        <v>428</v>
      </c>
      <c r="F47" s="222">
        <v>8854</v>
      </c>
    </row>
    <row r="48" spans="5:9" x14ac:dyDescent="0.25">
      <c r="E48" s="214" t="s">
        <v>40</v>
      </c>
      <c r="F48" s="222">
        <v>10241</v>
      </c>
    </row>
    <row r="49" spans="5:7" x14ac:dyDescent="0.25">
      <c r="E49" s="214" t="s">
        <v>44</v>
      </c>
      <c r="F49" s="222">
        <v>62261</v>
      </c>
    </row>
    <row r="50" spans="5:7" x14ac:dyDescent="0.25">
      <c r="E50" s="214" t="s">
        <v>429</v>
      </c>
      <c r="F50" s="215"/>
    </row>
    <row r="51" spans="5:7" ht="31.5" x14ac:dyDescent="0.25">
      <c r="E51" s="219" t="s">
        <v>430</v>
      </c>
      <c r="F51" s="215"/>
    </row>
    <row r="52" spans="5:7" x14ac:dyDescent="0.25">
      <c r="E52" s="219" t="s">
        <v>431</v>
      </c>
      <c r="F52" s="252">
        <v>0</v>
      </c>
    </row>
    <row r="53" spans="5:7" ht="31.5" x14ac:dyDescent="0.25">
      <c r="E53" s="219" t="s">
        <v>432</v>
      </c>
      <c r="F53" s="215"/>
    </row>
    <row r="54" spans="5:7" x14ac:dyDescent="0.25">
      <c r="E54" s="219" t="s">
        <v>433</v>
      </c>
      <c r="F54" s="215"/>
    </row>
    <row r="55" spans="5:7" x14ac:dyDescent="0.25">
      <c r="E55" s="219" t="s">
        <v>434</v>
      </c>
      <c r="F55" s="222">
        <v>3120</v>
      </c>
    </row>
    <row r="56" spans="5:7" ht="31.5" x14ac:dyDescent="0.25">
      <c r="E56" s="219" t="s">
        <v>435</v>
      </c>
      <c r="F56" s="222">
        <v>-13165</v>
      </c>
    </row>
    <row r="57" spans="5:7" x14ac:dyDescent="0.25">
      <c r="E57" s="219" t="s">
        <v>49</v>
      </c>
      <c r="F57" s="222">
        <v>103879</v>
      </c>
    </row>
    <row r="58" spans="5:7" x14ac:dyDescent="0.25">
      <c r="E58" s="219" t="s">
        <v>406</v>
      </c>
      <c r="F58" s="222">
        <v>93834</v>
      </c>
    </row>
    <row r="59" spans="5:7" ht="31.5" x14ac:dyDescent="0.25">
      <c r="E59" s="219" t="s">
        <v>436</v>
      </c>
      <c r="F59" s="215"/>
    </row>
    <row r="60" spans="5:7" x14ac:dyDescent="0.25">
      <c r="E60" s="219" t="s">
        <v>437</v>
      </c>
      <c r="F60" s="222">
        <v>22684</v>
      </c>
    </row>
    <row r="61" spans="5:7" x14ac:dyDescent="0.25">
      <c r="E61" s="219" t="s">
        <v>438</v>
      </c>
      <c r="F61" s="244">
        <v>71150</v>
      </c>
      <c r="G61" s="253">
        <f>F61+F45-F23</f>
        <v>70275</v>
      </c>
    </row>
    <row r="62" spans="5:7" x14ac:dyDescent="0.25">
      <c r="E62" s="219" t="s">
        <v>439</v>
      </c>
      <c r="F62" s="233">
        <v>133411</v>
      </c>
    </row>
  </sheetData>
  <mergeCells count="4">
    <mergeCell ref="B2:B3"/>
    <mergeCell ref="E2:E3"/>
    <mergeCell ref="H2:H3"/>
    <mergeCell ref="I2:I3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3"/>
  <sheetViews>
    <sheetView workbookViewId="0">
      <selection activeCell="H12" sqref="H12"/>
    </sheetView>
  </sheetViews>
  <sheetFormatPr defaultRowHeight="15.75" x14ac:dyDescent="0.25"/>
  <cols>
    <col min="1" max="1" width="9.140625" style="208"/>
    <col min="2" max="2" width="28.28515625" style="208" customWidth="1"/>
    <col min="3" max="4" width="9.140625" style="208"/>
    <col min="5" max="5" width="40" style="208" bestFit="1" customWidth="1"/>
    <col min="6" max="7" width="9.140625" style="208"/>
    <col min="8" max="8" width="34.42578125" style="208" bestFit="1" customWidth="1"/>
    <col min="9" max="9" width="11.85546875" style="208" customWidth="1"/>
    <col min="10" max="16384" width="9.140625" style="208"/>
  </cols>
  <sheetData>
    <row r="1" spans="2:9" x14ac:dyDescent="0.25">
      <c r="B1" s="208" t="s">
        <v>401</v>
      </c>
      <c r="D1" s="209"/>
      <c r="E1" s="208" t="s">
        <v>405</v>
      </c>
      <c r="G1" s="209"/>
      <c r="H1" s="208" t="s">
        <v>441</v>
      </c>
      <c r="I1" s="209"/>
    </row>
    <row r="2" spans="2:9" ht="47.25" x14ac:dyDescent="0.25">
      <c r="B2" s="266" t="s">
        <v>404</v>
      </c>
      <c r="C2" s="210" t="s">
        <v>402</v>
      </c>
      <c r="D2" s="209"/>
      <c r="E2" s="266" t="s">
        <v>404</v>
      </c>
      <c r="F2" s="210" t="s">
        <v>402</v>
      </c>
      <c r="G2" s="209"/>
      <c r="H2" s="209"/>
      <c r="I2" s="209"/>
    </row>
    <row r="3" spans="2:9" ht="31.5" x14ac:dyDescent="0.25">
      <c r="B3" s="267"/>
      <c r="C3" s="210" t="s">
        <v>403</v>
      </c>
      <c r="D3" s="209"/>
      <c r="E3" s="267"/>
      <c r="F3" s="210" t="s">
        <v>403</v>
      </c>
      <c r="G3" s="209"/>
      <c r="H3" s="211" t="s">
        <v>486</v>
      </c>
      <c r="I3" s="210" t="s">
        <v>403</v>
      </c>
    </row>
    <row r="4" spans="2:9" x14ac:dyDescent="0.25">
      <c r="B4" s="208" t="s">
        <v>131</v>
      </c>
      <c r="C4" s="208">
        <v>48851</v>
      </c>
      <c r="E4" s="208" t="s">
        <v>131</v>
      </c>
      <c r="F4" s="208">
        <v>48851</v>
      </c>
      <c r="H4" s="208" t="s">
        <v>407</v>
      </c>
    </row>
    <row r="5" spans="2:9" x14ac:dyDescent="0.25">
      <c r="B5" s="208" t="s">
        <v>443</v>
      </c>
      <c r="C5" s="208">
        <v>9648</v>
      </c>
      <c r="E5" s="208" t="s">
        <v>443</v>
      </c>
      <c r="F5" s="208">
        <v>9648</v>
      </c>
      <c r="H5" s="208" t="s">
        <v>14</v>
      </c>
    </row>
    <row r="6" spans="2:9" x14ac:dyDescent="0.25">
      <c r="B6" s="208" t="s">
        <v>444</v>
      </c>
      <c r="C6" s="208">
        <v>39203</v>
      </c>
      <c r="E6" s="208" t="s">
        <v>444</v>
      </c>
      <c r="F6" s="208">
        <v>39203</v>
      </c>
      <c r="H6" s="208" t="s">
        <v>458</v>
      </c>
    </row>
    <row r="7" spans="2:9" x14ac:dyDescent="0.25">
      <c r="B7" s="208" t="s">
        <v>445</v>
      </c>
      <c r="E7" s="208" t="s">
        <v>445</v>
      </c>
      <c r="H7" s="208" t="s">
        <v>2</v>
      </c>
      <c r="I7" s="209"/>
    </row>
    <row r="8" spans="2:9" x14ac:dyDescent="0.25">
      <c r="B8" s="208" t="s">
        <v>64</v>
      </c>
      <c r="C8" s="208">
        <v>7690</v>
      </c>
      <c r="E8" s="208" t="s">
        <v>64</v>
      </c>
      <c r="F8" s="208">
        <v>7690</v>
      </c>
      <c r="H8" s="208" t="s">
        <v>459</v>
      </c>
    </row>
    <row r="9" spans="2:9" x14ac:dyDescent="0.25">
      <c r="B9" s="208" t="s">
        <v>446</v>
      </c>
      <c r="C9" s="208">
        <v>14809</v>
      </c>
      <c r="E9" s="208" t="s">
        <v>446</v>
      </c>
      <c r="F9" s="208">
        <v>14809</v>
      </c>
      <c r="H9" s="208" t="s">
        <v>460</v>
      </c>
    </row>
    <row r="10" spans="2:9" x14ac:dyDescent="0.25">
      <c r="B10" s="208" t="s">
        <v>447</v>
      </c>
      <c r="C10" s="208">
        <v>1152</v>
      </c>
      <c r="E10" s="208" t="s">
        <v>447</v>
      </c>
      <c r="F10" s="208">
        <v>1152</v>
      </c>
      <c r="H10" s="208" t="s">
        <v>8</v>
      </c>
      <c r="I10" s="208">
        <v>8176</v>
      </c>
    </row>
    <row r="11" spans="2:9" x14ac:dyDescent="0.25">
      <c r="B11" s="208" t="s">
        <v>448</v>
      </c>
      <c r="C11" s="208">
        <v>3728</v>
      </c>
      <c r="E11" s="208" t="s">
        <v>448</v>
      </c>
      <c r="F11" s="208">
        <v>3728</v>
      </c>
      <c r="H11" s="208" t="s">
        <v>9</v>
      </c>
      <c r="I11" s="208">
        <v>7513</v>
      </c>
    </row>
    <row r="12" spans="2:9" x14ac:dyDescent="0.25">
      <c r="B12" s="208" t="s">
        <v>449</v>
      </c>
      <c r="C12" s="208">
        <v>27379</v>
      </c>
      <c r="E12" s="208" t="s">
        <v>449</v>
      </c>
      <c r="F12" s="208">
        <v>27379</v>
      </c>
      <c r="H12" s="208" t="s">
        <v>10</v>
      </c>
    </row>
    <row r="13" spans="2:9" x14ac:dyDescent="0.25">
      <c r="B13" s="208" t="s">
        <v>66</v>
      </c>
      <c r="C13" s="208">
        <v>11824</v>
      </c>
      <c r="E13" s="208" t="s">
        <v>66</v>
      </c>
      <c r="F13" s="208">
        <v>11824</v>
      </c>
      <c r="H13" s="208" t="s">
        <v>461</v>
      </c>
      <c r="I13" s="208">
        <v>4825</v>
      </c>
    </row>
    <row r="14" spans="2:9" x14ac:dyDescent="0.25">
      <c r="B14" s="208" t="s">
        <v>229</v>
      </c>
      <c r="C14" s="208">
        <v>1199</v>
      </c>
      <c r="E14" s="208" t="s">
        <v>229</v>
      </c>
      <c r="F14" s="208">
        <v>1199</v>
      </c>
      <c r="H14" s="208" t="s">
        <v>414</v>
      </c>
    </row>
    <row r="15" spans="2:9" x14ac:dyDescent="0.25">
      <c r="B15" s="208" t="s">
        <v>77</v>
      </c>
      <c r="C15" s="208">
        <v>-1660</v>
      </c>
      <c r="E15" s="208" t="s">
        <v>77</v>
      </c>
      <c r="F15" s="208">
        <v>-1660</v>
      </c>
      <c r="H15" s="208" t="s">
        <v>20</v>
      </c>
    </row>
    <row r="16" spans="2:9" x14ac:dyDescent="0.25">
      <c r="B16" s="208" t="s">
        <v>450</v>
      </c>
      <c r="C16" s="208">
        <v>8965</v>
      </c>
      <c r="E16" s="208" t="s">
        <v>450</v>
      </c>
      <c r="F16" s="208">
        <v>8965</v>
      </c>
      <c r="H16" s="208" t="s">
        <v>15</v>
      </c>
    </row>
    <row r="17" spans="2:9" x14ac:dyDescent="0.25">
      <c r="B17" s="208" t="s">
        <v>451</v>
      </c>
      <c r="C17" s="208">
        <v>1990</v>
      </c>
      <c r="E17" s="208" t="s">
        <v>451</v>
      </c>
      <c r="F17" s="208">
        <v>1990</v>
      </c>
      <c r="H17" s="208" t="s">
        <v>462</v>
      </c>
    </row>
    <row r="18" spans="2:9" x14ac:dyDescent="0.25">
      <c r="B18" s="208" t="s">
        <v>452</v>
      </c>
      <c r="E18" s="208" t="s">
        <v>452</v>
      </c>
      <c r="H18" s="208" t="s">
        <v>463</v>
      </c>
    </row>
    <row r="19" spans="2:9" x14ac:dyDescent="0.25">
      <c r="B19" s="208" t="s">
        <v>453</v>
      </c>
      <c r="C19" s="208">
        <v>6975</v>
      </c>
      <c r="E19" s="208" t="s">
        <v>453</v>
      </c>
      <c r="F19" s="208">
        <v>6975</v>
      </c>
      <c r="H19" s="208" t="s">
        <v>464</v>
      </c>
      <c r="I19" s="208">
        <v>13766</v>
      </c>
    </row>
    <row r="20" spans="2:9" x14ac:dyDescent="0.25">
      <c r="B20" s="208" t="s">
        <v>454</v>
      </c>
      <c r="C20" s="208">
        <v>11</v>
      </c>
      <c r="E20" s="208" t="s">
        <v>454</v>
      </c>
      <c r="F20" s="208">
        <v>11</v>
      </c>
      <c r="H20" s="208" t="s">
        <v>465</v>
      </c>
    </row>
    <row r="21" spans="2:9" x14ac:dyDescent="0.25">
      <c r="B21" s="208" t="s">
        <v>30</v>
      </c>
      <c r="C21" s="208">
        <v>-26</v>
      </c>
      <c r="E21" s="208" t="s">
        <v>30</v>
      </c>
      <c r="F21" s="208">
        <v>-26</v>
      </c>
      <c r="H21" s="208" t="s">
        <v>16</v>
      </c>
    </row>
    <row r="22" spans="2:9" x14ac:dyDescent="0.25">
      <c r="B22" s="208" t="s">
        <v>455</v>
      </c>
      <c r="C22" s="208">
        <v>6960</v>
      </c>
      <c r="E22" s="208" t="s">
        <v>455</v>
      </c>
      <c r="F22" s="254">
        <v>6960</v>
      </c>
      <c r="H22" s="208" t="s">
        <v>466</v>
      </c>
    </row>
    <row r="23" spans="2:9" x14ac:dyDescent="0.25">
      <c r="H23" s="208" t="s">
        <v>10</v>
      </c>
    </row>
    <row r="24" spans="2:9" ht="31.5" x14ac:dyDescent="0.25">
      <c r="E24" s="211" t="s">
        <v>486</v>
      </c>
      <c r="F24" s="210" t="s">
        <v>403</v>
      </c>
      <c r="H24" s="208" t="s">
        <v>467</v>
      </c>
      <c r="I24" s="208">
        <v>3497</v>
      </c>
    </row>
    <row r="25" spans="2:9" x14ac:dyDescent="0.25">
      <c r="E25" s="208" t="s">
        <v>407</v>
      </c>
      <c r="H25" s="208" t="s">
        <v>468</v>
      </c>
    </row>
    <row r="26" spans="2:9" x14ac:dyDescent="0.25">
      <c r="B26" s="229" t="s">
        <v>397</v>
      </c>
      <c r="C26" s="230">
        <f>C16</f>
        <v>8965</v>
      </c>
      <c r="E26" s="208" t="s">
        <v>14</v>
      </c>
      <c r="H26" s="208" t="s">
        <v>21</v>
      </c>
      <c r="I26" s="208">
        <f>SUM(I10:I24)</f>
        <v>37777</v>
      </c>
    </row>
    <row r="27" spans="2:9" x14ac:dyDescent="0.25">
      <c r="B27" s="231"/>
      <c r="C27" s="232"/>
      <c r="E27" s="208" t="s">
        <v>458</v>
      </c>
      <c r="H27" s="208" t="s">
        <v>469</v>
      </c>
    </row>
    <row r="28" spans="2:9" x14ac:dyDescent="0.25">
      <c r="B28" s="229" t="s">
        <v>398</v>
      </c>
      <c r="C28" s="234">
        <f>C17</f>
        <v>1990</v>
      </c>
      <c r="E28" s="208" t="s">
        <v>2</v>
      </c>
      <c r="F28" s="254">
        <v>3641</v>
      </c>
      <c r="H28" s="208" t="s">
        <v>470</v>
      </c>
    </row>
    <row r="29" spans="2:9" x14ac:dyDescent="0.25">
      <c r="B29" s="229" t="s">
        <v>456</v>
      </c>
      <c r="C29" s="234">
        <f>C14*0.2</f>
        <v>239.8</v>
      </c>
      <c r="E29" s="208" t="s">
        <v>459</v>
      </c>
      <c r="F29" s="208">
        <v>19649</v>
      </c>
      <c r="H29" s="208" t="s">
        <v>38</v>
      </c>
    </row>
    <row r="30" spans="2:9" x14ac:dyDescent="0.25">
      <c r="B30" s="229" t="s">
        <v>457</v>
      </c>
      <c r="C30" s="235">
        <v>0</v>
      </c>
      <c r="E30" s="208" t="s">
        <v>460</v>
      </c>
      <c r="F30" s="208">
        <v>23290</v>
      </c>
      <c r="H30" s="208" t="s">
        <v>471</v>
      </c>
      <c r="I30" s="209"/>
    </row>
    <row r="31" spans="2:9" x14ac:dyDescent="0.25">
      <c r="B31" s="229" t="s">
        <v>168</v>
      </c>
      <c r="C31" s="230">
        <f>SUM(C28:C30)</f>
        <v>2229.8000000000002</v>
      </c>
      <c r="E31" s="208" t="s">
        <v>8</v>
      </c>
      <c r="F31" s="208">
        <v>8176</v>
      </c>
      <c r="H31" s="208" t="s">
        <v>23</v>
      </c>
      <c r="I31" s="208">
        <v>3620</v>
      </c>
    </row>
    <row r="32" spans="2:9" ht="16.5" thickBot="1" x14ac:dyDescent="0.3">
      <c r="C32" s="232"/>
      <c r="E32" s="208" t="s">
        <v>9</v>
      </c>
      <c r="F32" s="208">
        <v>7513</v>
      </c>
      <c r="H32" s="208" t="s">
        <v>472</v>
      </c>
    </row>
    <row r="33" spans="2:9" ht="16.5" thickBot="1" x14ac:dyDescent="0.3">
      <c r="B33" s="237" t="s">
        <v>180</v>
      </c>
      <c r="C33" s="238">
        <f>+C26-C31</f>
        <v>6735.2</v>
      </c>
      <c r="E33" s="208" t="s">
        <v>10</v>
      </c>
      <c r="H33" s="208" t="s">
        <v>421</v>
      </c>
      <c r="I33" s="208">
        <v>2359</v>
      </c>
    </row>
    <row r="34" spans="2:9" x14ac:dyDescent="0.25">
      <c r="E34" s="208" t="s">
        <v>461</v>
      </c>
      <c r="F34" s="208">
        <v>4825</v>
      </c>
      <c r="H34" s="208" t="s">
        <v>473</v>
      </c>
    </row>
    <row r="35" spans="2:9" x14ac:dyDescent="0.25">
      <c r="E35" s="208" t="s">
        <v>414</v>
      </c>
      <c r="F35" s="208">
        <v>43804</v>
      </c>
      <c r="H35" s="208" t="s">
        <v>425</v>
      </c>
    </row>
    <row r="36" spans="2:9" x14ac:dyDescent="0.25">
      <c r="E36" s="208" t="s">
        <v>20</v>
      </c>
      <c r="H36" s="208" t="s">
        <v>43</v>
      </c>
    </row>
    <row r="37" spans="2:9" x14ac:dyDescent="0.25">
      <c r="E37" s="208" t="s">
        <v>15</v>
      </c>
      <c r="H37" s="208" t="s">
        <v>41</v>
      </c>
      <c r="I37" s="209"/>
    </row>
    <row r="38" spans="2:9" x14ac:dyDescent="0.25">
      <c r="E38" s="208" t="s">
        <v>462</v>
      </c>
      <c r="F38" s="208">
        <v>27268</v>
      </c>
      <c r="H38" s="208" t="s">
        <v>474</v>
      </c>
    </row>
    <row r="39" spans="2:9" x14ac:dyDescent="0.25">
      <c r="E39" s="208" t="s">
        <v>463</v>
      </c>
      <c r="F39" s="208">
        <v>-13502</v>
      </c>
      <c r="H39" s="208" t="s">
        <v>475</v>
      </c>
    </row>
    <row r="40" spans="2:9" x14ac:dyDescent="0.25">
      <c r="E40" s="208" t="s">
        <v>464</v>
      </c>
      <c r="F40" s="208">
        <v>13766</v>
      </c>
      <c r="H40" s="208" t="s">
        <v>476</v>
      </c>
    </row>
    <row r="41" spans="2:9" x14ac:dyDescent="0.25">
      <c r="E41" s="208" t="s">
        <v>465</v>
      </c>
      <c r="F41" s="208">
        <v>15999</v>
      </c>
      <c r="H41" s="208" t="s">
        <v>477</v>
      </c>
      <c r="I41" s="208">
        <v>9249</v>
      </c>
    </row>
    <row r="42" spans="2:9" x14ac:dyDescent="0.25">
      <c r="E42" s="208" t="s">
        <v>16</v>
      </c>
      <c r="F42" s="208">
        <v>48242</v>
      </c>
    </row>
    <row r="43" spans="2:9" x14ac:dyDescent="0.25">
      <c r="E43" s="208" t="s">
        <v>466</v>
      </c>
      <c r="F43" s="208">
        <v>40358</v>
      </c>
      <c r="H43" s="208" t="s">
        <v>44</v>
      </c>
      <c r="I43" s="208">
        <f>SUM(I30:I41)</f>
        <v>15228</v>
      </c>
    </row>
    <row r="44" spans="2:9" x14ac:dyDescent="0.25">
      <c r="E44" s="208" t="s">
        <v>10</v>
      </c>
      <c r="F44" s="208">
        <v>1794</v>
      </c>
    </row>
    <row r="45" spans="2:9" x14ac:dyDescent="0.25">
      <c r="E45" s="208" t="s">
        <v>467</v>
      </c>
      <c r="F45" s="208">
        <v>3497</v>
      </c>
      <c r="H45" s="231" t="s">
        <v>494</v>
      </c>
      <c r="I45" s="255">
        <f>I26-I43</f>
        <v>22549</v>
      </c>
    </row>
    <row r="46" spans="2:9" x14ac:dyDescent="0.25">
      <c r="E46" s="208" t="s">
        <v>468</v>
      </c>
      <c r="F46" s="208">
        <v>123656</v>
      </c>
      <c r="H46" s="229"/>
      <c r="I46" s="230"/>
    </row>
    <row r="47" spans="2:9" x14ac:dyDescent="0.25">
      <c r="E47" s="208" t="s">
        <v>21</v>
      </c>
      <c r="F47" s="208">
        <v>167460</v>
      </c>
      <c r="H47" s="229" t="s">
        <v>487</v>
      </c>
      <c r="I47" s="256">
        <v>6176</v>
      </c>
    </row>
    <row r="48" spans="2:9" x14ac:dyDescent="0.25">
      <c r="E48" s="208" t="s">
        <v>469</v>
      </c>
    </row>
    <row r="49" spans="5:9" x14ac:dyDescent="0.25">
      <c r="E49" s="208" t="s">
        <v>470</v>
      </c>
    </row>
    <row r="50" spans="5:9" x14ac:dyDescent="0.25">
      <c r="E50" s="208" t="s">
        <v>38</v>
      </c>
    </row>
    <row r="51" spans="5:9" x14ac:dyDescent="0.25">
      <c r="E51" s="208" t="s">
        <v>471</v>
      </c>
      <c r="F51" s="254">
        <v>10160</v>
      </c>
      <c r="I51" s="209"/>
    </row>
    <row r="52" spans="5:9" x14ac:dyDescent="0.25">
      <c r="E52" s="208" t="s">
        <v>23</v>
      </c>
      <c r="F52" s="208">
        <v>3620</v>
      </c>
    </row>
    <row r="53" spans="5:9" x14ac:dyDescent="0.25">
      <c r="E53" s="208" t="s">
        <v>472</v>
      </c>
      <c r="F53" s="208">
        <v>418</v>
      </c>
    </row>
    <row r="54" spans="5:9" x14ac:dyDescent="0.25">
      <c r="E54" s="208" t="s">
        <v>421</v>
      </c>
      <c r="F54" s="208">
        <v>2359</v>
      </c>
    </row>
    <row r="55" spans="5:9" x14ac:dyDescent="0.25">
      <c r="E55" s="208" t="s">
        <v>473</v>
      </c>
      <c r="F55" s="208">
        <v>12842</v>
      </c>
    </row>
    <row r="56" spans="5:9" x14ac:dyDescent="0.25">
      <c r="E56" s="208" t="s">
        <v>425</v>
      </c>
      <c r="F56" s="208">
        <v>29399</v>
      </c>
    </row>
    <row r="57" spans="5:9" x14ac:dyDescent="0.25">
      <c r="E57" s="208" t="s">
        <v>43</v>
      </c>
    </row>
    <row r="58" spans="5:9" x14ac:dyDescent="0.25">
      <c r="E58" s="208" t="s">
        <v>41</v>
      </c>
      <c r="F58" s="254">
        <v>28818</v>
      </c>
    </row>
    <row r="59" spans="5:9" x14ac:dyDescent="0.25">
      <c r="E59" s="208" t="s">
        <v>474</v>
      </c>
      <c r="F59" s="208">
        <v>26877</v>
      </c>
    </row>
    <row r="60" spans="5:9" x14ac:dyDescent="0.25">
      <c r="E60" s="208" t="s">
        <v>475</v>
      </c>
      <c r="F60" s="208">
        <v>8119</v>
      </c>
    </row>
    <row r="61" spans="5:9" x14ac:dyDescent="0.25">
      <c r="E61" s="208" t="s">
        <v>476</v>
      </c>
      <c r="F61" s="208">
        <v>278</v>
      </c>
    </row>
    <row r="62" spans="5:9" x14ac:dyDescent="0.25">
      <c r="E62" s="208" t="s">
        <v>477</v>
      </c>
      <c r="F62" s="208">
        <v>9249</v>
      </c>
    </row>
    <row r="63" spans="5:9" x14ac:dyDescent="0.25">
      <c r="E63" s="208" t="s">
        <v>478</v>
      </c>
      <c r="F63" s="208">
        <v>73341</v>
      </c>
    </row>
    <row r="64" spans="5:9" x14ac:dyDescent="0.25">
      <c r="E64" s="208" t="s">
        <v>44</v>
      </c>
      <c r="F64" s="208">
        <v>102740</v>
      </c>
    </row>
    <row r="65" spans="5:7" x14ac:dyDescent="0.25">
      <c r="E65" s="208" t="s">
        <v>252</v>
      </c>
    </row>
    <row r="66" spans="5:7" x14ac:dyDescent="0.25">
      <c r="E66" s="208" t="s">
        <v>479</v>
      </c>
      <c r="F66" s="208">
        <v>26</v>
      </c>
    </row>
    <row r="67" spans="5:7" x14ac:dyDescent="0.25">
      <c r="E67" s="208" t="s">
        <v>480</v>
      </c>
      <c r="F67" s="208">
        <v>459</v>
      </c>
    </row>
    <row r="68" spans="5:7" x14ac:dyDescent="0.25">
      <c r="E68" s="208" t="s">
        <v>481</v>
      </c>
      <c r="F68" s="208">
        <v>81016</v>
      </c>
    </row>
    <row r="69" spans="5:7" x14ac:dyDescent="0.25">
      <c r="E69" s="208" t="s">
        <v>49</v>
      </c>
      <c r="F69" s="208">
        <v>71993</v>
      </c>
    </row>
    <row r="70" spans="5:7" x14ac:dyDescent="0.25">
      <c r="E70" s="208" t="s">
        <v>482</v>
      </c>
      <c r="F70" s="208">
        <v>-79252</v>
      </c>
    </row>
    <row r="71" spans="5:7" x14ac:dyDescent="0.25">
      <c r="E71" s="208" t="s">
        <v>483</v>
      </c>
      <c r="F71" s="208">
        <v>-9522</v>
      </c>
    </row>
    <row r="72" spans="5:7" x14ac:dyDescent="0.25">
      <c r="E72" s="208" t="s">
        <v>484</v>
      </c>
      <c r="F72" s="254">
        <v>64720</v>
      </c>
      <c r="G72" s="208">
        <f>F72+F58+F51-F28</f>
        <v>100057</v>
      </c>
    </row>
    <row r="73" spans="5:7" x14ac:dyDescent="0.25">
      <c r="E73" s="208" t="s">
        <v>485</v>
      </c>
      <c r="F73" s="208">
        <v>167460</v>
      </c>
    </row>
  </sheetData>
  <mergeCells count="2">
    <mergeCell ref="B2:B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A24" sqref="A24"/>
    </sheetView>
  </sheetViews>
  <sheetFormatPr defaultRowHeight="15" x14ac:dyDescent="0.25"/>
  <cols>
    <col min="1" max="1" width="48.42578125" customWidth="1"/>
    <col min="2" max="2" width="18.140625" customWidth="1"/>
    <col min="3" max="7" width="13.7109375" bestFit="1" customWidth="1"/>
  </cols>
  <sheetData>
    <row r="1" spans="1:7" ht="15.75" x14ac:dyDescent="0.25">
      <c r="A1" s="1" t="s">
        <v>0</v>
      </c>
      <c r="B1" s="1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ht="15.75" thickBot="1" x14ac:dyDescent="0.3">
      <c r="A3" s="3"/>
      <c r="B3" s="3"/>
      <c r="C3" s="3"/>
      <c r="D3" s="3"/>
      <c r="E3" s="3"/>
      <c r="F3" s="3"/>
      <c r="G3" s="3"/>
    </row>
    <row r="4" spans="1:7" ht="15.75" thickBot="1" x14ac:dyDescent="0.3">
      <c r="A4" s="2"/>
      <c r="B4" s="2"/>
      <c r="C4" s="4">
        <v>42369</v>
      </c>
      <c r="D4" s="4">
        <v>42004</v>
      </c>
      <c r="E4" s="4">
        <v>41639</v>
      </c>
      <c r="F4" s="4">
        <v>41274</v>
      </c>
      <c r="G4" s="4">
        <v>40908</v>
      </c>
    </row>
    <row r="5" spans="1:7" x14ac:dyDescent="0.25">
      <c r="A5" s="5" t="s">
        <v>2</v>
      </c>
      <c r="B5" s="26">
        <f>(C5/'Adjusted Income  Statement'!$C$8+'Adjusted Balance Sheet'!D5/'Adjusted Income  Statement'!$D$8+'Adjusted Balance Sheet'!E5/'Adjusted Income  Statement'!$E$8+'Adjusted Balance Sheet'!F5/'Adjusted Income  Statement'!$F$8)/4</f>
        <v>0.21037654231153533</v>
      </c>
      <c r="C5" s="6">
        <v>2385</v>
      </c>
      <c r="D5" s="6">
        <v>5571</v>
      </c>
      <c r="E5" s="6">
        <v>3586</v>
      </c>
      <c r="F5" s="6">
        <v>1656</v>
      </c>
      <c r="G5" s="6">
        <v>5776</v>
      </c>
    </row>
    <row r="6" spans="1:7" x14ac:dyDescent="0.25">
      <c r="A6" s="5" t="s">
        <v>3</v>
      </c>
      <c r="B6" s="5">
        <f>SUM(C6:F6)/4</f>
        <v>1465.25</v>
      </c>
      <c r="C6" s="6">
        <v>1885</v>
      </c>
      <c r="D6" s="6">
        <v>1864</v>
      </c>
      <c r="E6" s="6">
        <v>939</v>
      </c>
      <c r="F6" s="6">
        <v>1173</v>
      </c>
      <c r="G6" s="6">
        <v>2957</v>
      </c>
    </row>
    <row r="7" spans="1:7" x14ac:dyDescent="0.25">
      <c r="A7" s="5" t="s">
        <v>4</v>
      </c>
      <c r="B7" s="26">
        <f>(C7/'Adjusted Income  Statement'!$C$8+'Adjusted Balance Sheet'!D7/'Adjusted Income  Statement'!$D$8+'Adjusted Balance Sheet'!E7/'Adjusted Income  Statement'!$E$8+'Adjusted Balance Sheet'!F7/'Adjusted Income  Statement'!$F$8)/4</f>
        <v>0.13011280307617595</v>
      </c>
      <c r="C7" s="6">
        <v>2948</v>
      </c>
      <c r="D7" s="6">
        <v>2100</v>
      </c>
      <c r="E7" s="6">
        <v>1690</v>
      </c>
      <c r="F7" s="6">
        <v>1708</v>
      </c>
      <c r="G7" s="6">
        <v>2250</v>
      </c>
    </row>
    <row r="8" spans="1:7" x14ac:dyDescent="0.25">
      <c r="A8" s="5" t="s">
        <v>5</v>
      </c>
      <c r="B8" s="26">
        <f>(C8/'Adjusted Income  Statement'!$C$8+'Adjusted Balance Sheet'!D8/'Adjusted Income  Statement'!$D$8+'Adjusted Balance Sheet'!E8/'Adjusted Income  Statement'!$E$8+'Adjusted Balance Sheet'!F8/'Adjusted Income  Statement'!$F$8)/4</f>
        <v>5.9950607624820469E-2</v>
      </c>
      <c r="C8" s="6">
        <v>958</v>
      </c>
      <c r="D8" s="6">
        <v>888</v>
      </c>
      <c r="E8" s="6">
        <v>1122</v>
      </c>
      <c r="F8" s="6">
        <v>857</v>
      </c>
      <c r="G8" s="6">
        <v>1081</v>
      </c>
    </row>
    <row r="9" spans="1:7" x14ac:dyDescent="0.25">
      <c r="A9" s="5" t="s">
        <v>6</v>
      </c>
      <c r="B9" s="26">
        <f>(C9/'Adjusted Income  Statement'!$C$8+'Adjusted Balance Sheet'!D9/'Adjusted Income  Statement'!$D$8+'Adjusted Balance Sheet'!E9/'Adjusted Income  Statement'!$E$8+'Adjusted Balance Sheet'!F9/'Adjusted Income  Statement'!$F$8)/4</f>
        <v>1.4303003785618634E-2</v>
      </c>
      <c r="C9" s="6">
        <v>182</v>
      </c>
      <c r="D9" s="6">
        <v>178</v>
      </c>
      <c r="E9" s="6">
        <v>262</v>
      </c>
      <c r="F9" s="6">
        <v>319</v>
      </c>
      <c r="G9" s="6">
        <v>256</v>
      </c>
    </row>
    <row r="10" spans="1:7" ht="15.75" thickBot="1" x14ac:dyDescent="0.3">
      <c r="A10" s="5" t="s">
        <v>7</v>
      </c>
      <c r="B10" s="26">
        <f>(C10/'Adjusted Income  Statement'!$C$8+'Adjusted Balance Sheet'!D10/'Adjusted Income  Statement'!$D$8+'Adjusted Balance Sheet'!E10/'Adjusted Income  Statement'!$E$8+'Adjusted Balance Sheet'!F10/'Adjusted Income  Statement'!$F$8)/4</f>
        <v>1.4504861328902635E-2</v>
      </c>
      <c r="C10" s="6">
        <v>211</v>
      </c>
      <c r="D10" s="6">
        <v>224</v>
      </c>
      <c r="E10" s="6">
        <v>286</v>
      </c>
      <c r="F10" s="6">
        <v>199</v>
      </c>
      <c r="G10" s="6">
        <v>156</v>
      </c>
    </row>
    <row r="11" spans="1:7" x14ac:dyDescent="0.25">
      <c r="A11" s="7" t="s">
        <v>8</v>
      </c>
      <c r="B11" s="26">
        <f>(C11/'Adjusted Income  Statement'!$C$8+'Adjusted Balance Sheet'!D11/'Adjusted Income  Statement'!$D$8+'Adjusted Balance Sheet'!E11/'Adjusted Income  Statement'!$E$8+'Adjusted Balance Sheet'!F11/'Adjusted Income  Statement'!$F$8)/4</f>
        <v>0.21887127581551769</v>
      </c>
      <c r="C11" s="8">
        <f>SUM(C7:C10)</f>
        <v>4299</v>
      </c>
      <c r="D11" s="8">
        <f>SUM(D7:D10)</f>
        <v>3390</v>
      </c>
      <c r="E11" s="8">
        <f>SUM(E7:E10)</f>
        <v>3360</v>
      </c>
      <c r="F11" s="8">
        <f>SUM(F7:F10)</f>
        <v>3083</v>
      </c>
      <c r="G11" s="8">
        <f>SUM(G7:G10)</f>
        <v>3743</v>
      </c>
    </row>
    <row r="12" spans="1:7" x14ac:dyDescent="0.25">
      <c r="A12" s="5" t="s">
        <v>9</v>
      </c>
      <c r="B12" s="5">
        <f>-('Adjusted Income  Statement'!$C$9/'Adjusted Balance Sheet'!C12+'Adjusted Income  Statement'!$D$9/'Adjusted Balance Sheet'!D12+'Adjusted Income  Statement'!$E$9/'Adjusted Balance Sheet'!E12+'Adjusted Income  Statement'!$F$9/'Adjusted Balance Sheet'!F12)/4</f>
        <v>2.8968920014614015</v>
      </c>
      <c r="C12" s="6">
        <v>1221</v>
      </c>
      <c r="D12" s="6">
        <v>1560</v>
      </c>
      <c r="E12" s="6">
        <v>1498</v>
      </c>
      <c r="F12" s="6">
        <v>1657</v>
      </c>
      <c r="G12" s="6">
        <v>1384</v>
      </c>
    </row>
    <row r="13" spans="1:7" x14ac:dyDescent="0.25">
      <c r="A13" s="5" t="s">
        <v>10</v>
      </c>
      <c r="B13" s="5">
        <f t="shared" ref="B13:B24" si="0">SUM(C13:F13)/4</f>
        <v>1235.5</v>
      </c>
      <c r="C13" s="6">
        <v>0</v>
      </c>
      <c r="D13" s="6">
        <v>1644</v>
      </c>
      <c r="E13" s="6">
        <v>1701</v>
      </c>
      <c r="F13" s="6">
        <v>1597</v>
      </c>
      <c r="G13" s="6">
        <v>1200</v>
      </c>
    </row>
    <row r="14" spans="1:7" x14ac:dyDescent="0.25">
      <c r="A14" s="5" t="s">
        <v>11</v>
      </c>
      <c r="B14" s="5">
        <f t="shared" si="0"/>
        <v>432</v>
      </c>
      <c r="C14" s="6">
        <v>491</v>
      </c>
      <c r="D14" s="6">
        <v>470</v>
      </c>
      <c r="E14" s="6">
        <v>412</v>
      </c>
      <c r="F14" s="6">
        <v>355</v>
      </c>
      <c r="G14" s="6">
        <v>258</v>
      </c>
    </row>
    <row r="15" spans="1:7" x14ac:dyDescent="0.25">
      <c r="A15" s="5" t="s">
        <v>12</v>
      </c>
      <c r="B15" s="5">
        <f t="shared" si="0"/>
        <v>1915.75</v>
      </c>
      <c r="C15" s="6">
        <v>134</v>
      </c>
      <c r="D15" s="6">
        <v>109</v>
      </c>
      <c r="E15" s="6">
        <v>7420</v>
      </c>
      <c r="F15" s="6">
        <v>0</v>
      </c>
      <c r="G15" s="6">
        <v>0</v>
      </c>
    </row>
    <row r="16" spans="1:7" ht="15.75" thickBot="1" x14ac:dyDescent="0.3">
      <c r="A16" s="5" t="s">
        <v>13</v>
      </c>
      <c r="B16" s="5">
        <f t="shared" si="0"/>
        <v>-1164.75</v>
      </c>
      <c r="C16" s="6">
        <v>122</v>
      </c>
      <c r="D16" s="6">
        <v>-1551</v>
      </c>
      <c r="E16" s="6">
        <v>-1737</v>
      </c>
      <c r="F16" s="6">
        <v>-1493</v>
      </c>
      <c r="G16" s="6"/>
    </row>
    <row r="17" spans="1:7" x14ac:dyDescent="0.25">
      <c r="A17" s="7" t="s">
        <v>14</v>
      </c>
      <c r="B17" s="7"/>
      <c r="C17" s="8">
        <f>+C5+C6+C11+C12+C13+C14+C15+C16</f>
        <v>10537</v>
      </c>
      <c r="D17" s="8">
        <f>+D5+D6+D11+D12+D13+D14+D15+D16</f>
        <v>13057</v>
      </c>
      <c r="E17" s="8">
        <f>+E5+E6+E11+E12+E13+E14+E15+E16</f>
        <v>17179</v>
      </c>
      <c r="F17" s="8">
        <f>+F5+F6+F11+F12+F13+F14+F15+F16</f>
        <v>8028</v>
      </c>
      <c r="G17" s="8">
        <f>+G5+G6+G11+G12+G13+G14+G15+G16</f>
        <v>15318</v>
      </c>
    </row>
    <row r="18" spans="1:7" x14ac:dyDescent="0.25">
      <c r="A18" s="5" t="s">
        <v>15</v>
      </c>
      <c r="B18" s="5">
        <f t="shared" si="0"/>
        <v>4685.25</v>
      </c>
      <c r="C18" s="6">
        <v>4412</v>
      </c>
      <c r="D18" s="6">
        <v>4417</v>
      </c>
      <c r="E18" s="6">
        <v>4579</v>
      </c>
      <c r="F18" s="6">
        <v>5333</v>
      </c>
      <c r="G18" s="6">
        <v>4521</v>
      </c>
    </row>
    <row r="19" spans="1:7" x14ac:dyDescent="0.25">
      <c r="A19" s="5" t="s">
        <v>16</v>
      </c>
      <c r="B19" s="5">
        <f t="shared" si="0"/>
        <v>7159.75</v>
      </c>
      <c r="C19" s="6">
        <v>6881</v>
      </c>
      <c r="D19" s="6">
        <v>7027</v>
      </c>
      <c r="E19" s="6">
        <v>7096</v>
      </c>
      <c r="F19" s="6">
        <v>7635</v>
      </c>
      <c r="G19" s="6">
        <v>5586</v>
      </c>
    </row>
    <row r="20" spans="1:7" x14ac:dyDescent="0.25">
      <c r="A20" s="5" t="s">
        <v>17</v>
      </c>
      <c r="B20" s="5">
        <f t="shared" si="0"/>
        <v>3567</v>
      </c>
      <c r="C20" s="6">
        <v>1419</v>
      </c>
      <c r="D20" s="6">
        <v>1753</v>
      </c>
      <c r="E20" s="6">
        <v>2318</v>
      </c>
      <c r="F20" s="6">
        <v>8778</v>
      </c>
      <c r="G20" s="6">
        <v>3124</v>
      </c>
    </row>
    <row r="21" spans="1:7" x14ac:dyDescent="0.25">
      <c r="A21" s="5" t="s">
        <v>10</v>
      </c>
      <c r="B21" s="5">
        <f t="shared" si="0"/>
        <v>1117.5</v>
      </c>
      <c r="C21" s="6">
        <v>2844</v>
      </c>
      <c r="D21" s="6">
        <v>915</v>
      </c>
      <c r="E21" s="6">
        <v>508</v>
      </c>
      <c r="F21" s="6">
        <v>203</v>
      </c>
      <c r="G21" s="6">
        <v>688</v>
      </c>
    </row>
    <row r="22" spans="1:7" x14ac:dyDescent="0.25">
      <c r="A22" s="5" t="s">
        <v>3</v>
      </c>
      <c r="B22" s="5">
        <f t="shared" si="0"/>
        <v>4084.5</v>
      </c>
      <c r="C22" s="6">
        <v>4660</v>
      </c>
      <c r="D22" s="6">
        <v>4408</v>
      </c>
      <c r="E22" s="6">
        <v>3747</v>
      </c>
      <c r="F22" s="6">
        <v>3523</v>
      </c>
      <c r="G22" s="6">
        <v>2909</v>
      </c>
    </row>
    <row r="23" spans="1:7" x14ac:dyDescent="0.25">
      <c r="A23" s="5" t="s">
        <v>18</v>
      </c>
      <c r="B23" s="5">
        <f t="shared" si="0"/>
        <v>1017.5</v>
      </c>
      <c r="C23" s="6">
        <v>1117</v>
      </c>
      <c r="D23" s="6">
        <v>621</v>
      </c>
      <c r="E23" s="6">
        <v>1428</v>
      </c>
      <c r="F23" s="6">
        <v>904</v>
      </c>
      <c r="G23" s="6">
        <v>824</v>
      </c>
    </row>
    <row r="24" spans="1:7" ht="15.75" thickBot="1" x14ac:dyDescent="0.3">
      <c r="A24" s="5" t="s">
        <v>19</v>
      </c>
      <c r="B24" s="5">
        <f t="shared" si="0"/>
        <v>-512.75</v>
      </c>
      <c r="C24" s="6">
        <v>-2138</v>
      </c>
      <c r="D24" s="6">
        <v>-408</v>
      </c>
      <c r="E24" s="6">
        <v>38</v>
      </c>
      <c r="F24" s="6">
        <v>457</v>
      </c>
      <c r="G24" s="6"/>
    </row>
    <row r="25" spans="1:7" ht="15.75" thickBot="1" x14ac:dyDescent="0.3">
      <c r="A25" s="7" t="s">
        <v>20</v>
      </c>
      <c r="B25" s="7"/>
      <c r="C25" s="8">
        <f>SUM(C18:C24)</f>
        <v>19195</v>
      </c>
      <c r="D25" s="8">
        <f>SUM(D18:D24)</f>
        <v>18733</v>
      </c>
      <c r="E25" s="8">
        <f>SUM(E18:E24)</f>
        <v>19714</v>
      </c>
      <c r="F25" s="8">
        <f>SUM(F18:F24)</f>
        <v>26833</v>
      </c>
      <c r="G25" s="8">
        <f>SUM(G18:G24)</f>
        <v>17652</v>
      </c>
    </row>
    <row r="26" spans="1:7" x14ac:dyDescent="0.25">
      <c r="A26" s="7" t="s">
        <v>21</v>
      </c>
      <c r="B26" s="7"/>
      <c r="C26" s="8">
        <f>+C17+C25</f>
        <v>29732</v>
      </c>
      <c r="D26" s="8">
        <f>+D17+D25</f>
        <v>31790</v>
      </c>
      <c r="E26" s="8">
        <f>+E17+E25</f>
        <v>36893</v>
      </c>
      <c r="F26" s="8">
        <f>+F17+F25</f>
        <v>34861</v>
      </c>
      <c r="G26" s="8">
        <f>+G17+G25</f>
        <v>32970</v>
      </c>
    </row>
    <row r="28" spans="1:7" x14ac:dyDescent="0.25">
      <c r="A28" s="9" t="s">
        <v>22</v>
      </c>
      <c r="B28" s="9">
        <f>SUM(C28:F28)/4</f>
        <v>478.5</v>
      </c>
      <c r="C28" s="6">
        <v>139</v>
      </c>
      <c r="D28" s="6">
        <v>590</v>
      </c>
      <c r="E28" s="6">
        <v>359</v>
      </c>
      <c r="F28" s="6">
        <v>826</v>
      </c>
      <c r="G28" s="6">
        <v>115</v>
      </c>
    </row>
    <row r="29" spans="1:7" x14ac:dyDescent="0.25">
      <c r="A29" s="9" t="s">
        <v>23</v>
      </c>
      <c r="B29" s="5">
        <f>-('Adjusted Income  Statement'!$C$9/'Adjusted Balance Sheet'!C29+'Adjusted Income  Statement'!$D$9/'Adjusted Balance Sheet'!D29+'Adjusted Income  Statement'!$E$9/'Adjusted Balance Sheet'!E29+'Adjusted Income  Statement'!$F$9/'Adjusted Balance Sheet'!F29)/4</f>
        <v>1.9943345399909505</v>
      </c>
      <c r="C29" s="6">
        <v>1565</v>
      </c>
      <c r="D29" s="6">
        <v>2487</v>
      </c>
      <c r="E29" s="6">
        <v>2559</v>
      </c>
      <c r="F29" s="6">
        <v>2202</v>
      </c>
      <c r="G29" s="6">
        <v>2603</v>
      </c>
    </row>
    <row r="30" spans="1:7" x14ac:dyDescent="0.25">
      <c r="A30" s="9" t="s">
        <v>24</v>
      </c>
      <c r="B30" s="26">
        <f>-(C30/'Adjusted Income  Statement'!$C$11+'Adjusted Balance Sheet'!D30/'Adjusted Income  Statement'!$D$11+'Adjusted Balance Sheet'!E30/'Adjusted Income  Statement'!$E$11+'Adjusted Balance Sheet'!F30/'Adjusted Income  Statement'!$F$11)/4</f>
        <v>0.17219183370995655</v>
      </c>
      <c r="C30" s="6">
        <v>904</v>
      </c>
      <c r="D30" s="6">
        <v>892</v>
      </c>
      <c r="E30" s="6">
        <v>735</v>
      </c>
      <c r="F30" s="6">
        <v>844</v>
      </c>
      <c r="G30" s="6">
        <v>783</v>
      </c>
    </row>
    <row r="31" spans="1:7" x14ac:dyDescent="0.25">
      <c r="A31" s="9" t="s">
        <v>25</v>
      </c>
      <c r="B31" s="9">
        <f>SUM(C31:F31)/4</f>
        <v>174.75</v>
      </c>
      <c r="C31" s="6">
        <v>161</v>
      </c>
      <c r="D31" s="6">
        <v>213</v>
      </c>
      <c r="E31" s="6">
        <v>173</v>
      </c>
      <c r="F31" s="6">
        <v>152</v>
      </c>
      <c r="G31" s="6">
        <v>571</v>
      </c>
    </row>
    <row r="32" spans="1:7" x14ac:dyDescent="0.25">
      <c r="A32" s="9" t="s">
        <v>26</v>
      </c>
      <c r="B32" s="26">
        <f>-(C32/'Adjusted Income  Statement'!$C$12+'Adjusted Balance Sheet'!D32/'Adjusted Income  Statement'!$D$12+'Adjusted Balance Sheet'!E32/'Adjusted Income  Statement'!$E$12+'Adjusted Balance Sheet'!F32/'Adjusted Income  Statement'!$F$12)/4</f>
        <v>0.10011963392754383</v>
      </c>
      <c r="C32" s="6">
        <v>553</v>
      </c>
      <c r="D32" s="6">
        <v>445</v>
      </c>
      <c r="E32" s="6">
        <v>380</v>
      </c>
      <c r="F32" s="6">
        <v>418</v>
      </c>
      <c r="G32" s="6">
        <v>450</v>
      </c>
    </row>
    <row r="33" spans="1:7" x14ac:dyDescent="0.25">
      <c r="A33" s="9" t="s">
        <v>27</v>
      </c>
      <c r="B33" s="9">
        <f>SUM(C33:F33)/4</f>
        <v>102.5</v>
      </c>
      <c r="C33" s="6">
        <v>89</v>
      </c>
      <c r="D33" s="6">
        <v>128</v>
      </c>
      <c r="E33" s="6">
        <v>73</v>
      </c>
      <c r="F33" s="6">
        <v>120</v>
      </c>
      <c r="G33" s="6">
        <v>58</v>
      </c>
    </row>
    <row r="34" spans="1:7" x14ac:dyDescent="0.25">
      <c r="A34" s="9" t="s">
        <v>28</v>
      </c>
      <c r="B34" s="26">
        <f>-(C34/'Adjusted Income  Statement'!$C$11+'Adjusted Balance Sheet'!D34/'Adjusted Income  Statement'!$D$11+'Adjusted Balance Sheet'!E34/'Adjusted Income  Statement'!$E$11+'Adjusted Balance Sheet'!F34/'Adjusted Income  Statement'!$F$11)/4</f>
        <v>9.6846550232430086E-3</v>
      </c>
      <c r="C34" s="6">
        <v>47</v>
      </c>
      <c r="D34" s="6">
        <v>47</v>
      </c>
      <c r="E34" s="6">
        <v>47</v>
      </c>
      <c r="F34" s="6">
        <v>49</v>
      </c>
      <c r="G34" s="6">
        <v>46</v>
      </c>
    </row>
    <row r="35" spans="1:7" x14ac:dyDescent="0.25">
      <c r="A35" s="9" t="s">
        <v>29</v>
      </c>
      <c r="B35" s="26">
        <f>-(C35/'Adjusted Income  Statement'!$C$11+'Adjusted Balance Sheet'!D35/'Adjusted Income  Statement'!$D$11+'Adjusted Balance Sheet'!E35/'Adjusted Income  Statement'!$E$11+'Adjusted Balance Sheet'!F35/'Adjusted Income  Statement'!$F$11)/4</f>
        <v>2.3352438518413073E-2</v>
      </c>
      <c r="C35" s="6">
        <v>189</v>
      </c>
      <c r="D35" s="6">
        <v>43</v>
      </c>
      <c r="E35" s="6">
        <v>65</v>
      </c>
      <c r="F35" s="6">
        <v>162</v>
      </c>
      <c r="G35" s="6">
        <v>32</v>
      </c>
    </row>
    <row r="36" spans="1:7" ht="15.75" thickBot="1" x14ac:dyDescent="0.3">
      <c r="A36" s="9" t="s">
        <v>30</v>
      </c>
      <c r="B36" s="9">
        <f>SUM(C36:F36)/4</f>
        <v>753.5</v>
      </c>
      <c r="C36" s="6">
        <v>816</v>
      </c>
      <c r="D36" s="6">
        <v>691</v>
      </c>
      <c r="E36" s="6">
        <v>679</v>
      </c>
      <c r="F36" s="6">
        <v>828</v>
      </c>
      <c r="G36" s="6">
        <v>851</v>
      </c>
    </row>
    <row r="37" spans="1:7" x14ac:dyDescent="0.25">
      <c r="A37" s="10" t="s">
        <v>31</v>
      </c>
      <c r="B37" s="10"/>
      <c r="C37" s="8">
        <f>SUM(C30:C36)</f>
        <v>2759</v>
      </c>
      <c r="D37" s="8">
        <f>SUM(D30:D36)</f>
        <v>2459</v>
      </c>
      <c r="E37" s="8">
        <f>SUM(E30:E36)</f>
        <v>2152</v>
      </c>
      <c r="F37" s="8">
        <f>SUM(F30:F36)</f>
        <v>2573</v>
      </c>
      <c r="G37" s="8">
        <f>SUM(G30:G36)</f>
        <v>2791</v>
      </c>
    </row>
    <row r="38" spans="1:7" x14ac:dyDescent="0.25">
      <c r="A38" s="9" t="s">
        <v>32</v>
      </c>
      <c r="B38" s="9">
        <f>POWER(C38/F38,1/3)</f>
        <v>1.0672897243746269</v>
      </c>
      <c r="C38" s="6">
        <v>1003</v>
      </c>
      <c r="D38" s="6">
        <v>1167</v>
      </c>
      <c r="E38" s="6">
        <v>756</v>
      </c>
      <c r="F38" s="6">
        <v>825</v>
      </c>
      <c r="G38" s="6">
        <v>337</v>
      </c>
    </row>
    <row r="39" spans="1:7" x14ac:dyDescent="0.25">
      <c r="A39" s="9" t="s">
        <v>33</v>
      </c>
      <c r="B39" s="27">
        <f>AVERAGE(C39:F39)</f>
        <v>1029.5</v>
      </c>
      <c r="C39" s="6">
        <v>1324</v>
      </c>
      <c r="D39" s="6">
        <v>851</v>
      </c>
      <c r="E39" s="6">
        <v>889</v>
      </c>
      <c r="F39" s="6">
        <v>1054</v>
      </c>
      <c r="G39" s="6">
        <v>1170</v>
      </c>
    </row>
    <row r="40" spans="1:7" x14ac:dyDescent="0.25">
      <c r="A40" s="9" t="s">
        <v>34</v>
      </c>
      <c r="B40" s="26">
        <f>-(C40/'Adjusted Income  Statement'!$C$28+'Adjusted Balance Sheet'!D40/'Adjusted Income  Statement'!$D$28+'Adjusted Balance Sheet'!E40/'Adjusted Income  Statement'!$E$28+'Adjusted Balance Sheet'!F40/'Adjusted Income  Statement'!$F$28)/4</f>
        <v>0.33563527049539099</v>
      </c>
      <c r="C40" s="6">
        <v>572</v>
      </c>
      <c r="D40" s="6">
        <v>262</v>
      </c>
      <c r="E40" s="6">
        <v>160</v>
      </c>
      <c r="F40" s="6">
        <v>193</v>
      </c>
      <c r="G40" s="6">
        <v>167</v>
      </c>
    </row>
    <row r="41" spans="1:7" x14ac:dyDescent="0.25">
      <c r="A41" s="9" t="s">
        <v>35</v>
      </c>
      <c r="B41" s="9">
        <f>POWER(C41/F41,1/3)</f>
        <v>1.0262572194247304</v>
      </c>
      <c r="C41" s="6">
        <v>655</v>
      </c>
      <c r="D41" s="6">
        <v>645</v>
      </c>
      <c r="E41" s="6">
        <v>634</v>
      </c>
      <c r="F41" s="6">
        <v>606</v>
      </c>
      <c r="G41" s="6">
        <v>597</v>
      </c>
    </row>
    <row r="42" spans="1:7" x14ac:dyDescent="0.25">
      <c r="A42" s="9" t="s">
        <v>36</v>
      </c>
      <c r="B42" s="9"/>
      <c r="C42" s="6">
        <v>0</v>
      </c>
      <c r="D42" s="6">
        <v>0</v>
      </c>
      <c r="E42" s="6">
        <v>4931</v>
      </c>
      <c r="F42" s="6">
        <v>0</v>
      </c>
      <c r="G42" s="6">
        <v>0</v>
      </c>
    </row>
    <row r="43" spans="1:7" ht="15.75" thickBot="1" x14ac:dyDescent="0.3">
      <c r="A43" s="9" t="s">
        <v>37</v>
      </c>
      <c r="B43" s="27">
        <f>AVERAGE(C43:F43)</f>
        <v>-1284.5</v>
      </c>
      <c r="C43" s="6">
        <v>-1092</v>
      </c>
      <c r="D43" s="6">
        <v>-1306</v>
      </c>
      <c r="E43" s="6">
        <v>-1785</v>
      </c>
      <c r="F43" s="6">
        <v>-955</v>
      </c>
      <c r="G43" s="6"/>
    </row>
    <row r="44" spans="1:7" x14ac:dyDescent="0.25">
      <c r="A44" s="10" t="s">
        <v>38</v>
      </c>
      <c r="B44" s="10"/>
      <c r="C44" s="8">
        <f>+C28+C29+C37+C38+C39+C40+C41+C42+C43</f>
        <v>6925</v>
      </c>
      <c r="D44" s="8">
        <f>+D28+D29+D37+D38+D39+D40+D41+D42+D43</f>
        <v>7155</v>
      </c>
      <c r="E44" s="8">
        <f>+E28+E29+E37+E38+E39+E40+E41+E42+E43</f>
        <v>10655</v>
      </c>
      <c r="F44" s="8">
        <f>+F28+F29+F37+F38+F39+F40+F41+F42+F43</f>
        <v>7324</v>
      </c>
      <c r="G44" s="8">
        <f>+G28+G29+G37+G38+G39+G40+G41+G42+G43</f>
        <v>7780</v>
      </c>
    </row>
    <row r="45" spans="1:7" ht="29.25" x14ac:dyDescent="0.25">
      <c r="A45" s="9" t="s">
        <v>39</v>
      </c>
      <c r="B45" s="27">
        <f t="shared" ref="B45:B50" si="1">AVERAGE(C45:F45)</f>
        <v>1166</v>
      </c>
      <c r="C45" s="6">
        <v>949</v>
      </c>
      <c r="D45" s="6">
        <v>1115</v>
      </c>
      <c r="E45" s="6">
        <v>718</v>
      </c>
      <c r="F45" s="6">
        <v>1882</v>
      </c>
      <c r="G45" s="6">
        <v>2017</v>
      </c>
    </row>
    <row r="46" spans="1:7" x14ac:dyDescent="0.25">
      <c r="A46" s="9" t="s">
        <v>32</v>
      </c>
      <c r="B46" s="27">
        <f t="shared" si="1"/>
        <v>1537.25</v>
      </c>
      <c r="C46" s="6">
        <v>586</v>
      </c>
      <c r="D46" s="6">
        <v>770</v>
      </c>
      <c r="E46" s="6">
        <v>769</v>
      </c>
      <c r="F46" s="6">
        <v>4024</v>
      </c>
      <c r="G46" s="6">
        <v>866</v>
      </c>
    </row>
    <row r="47" spans="1:7" x14ac:dyDescent="0.25">
      <c r="A47" s="9" t="s">
        <v>34</v>
      </c>
      <c r="B47" s="27">
        <f t="shared" si="1"/>
        <v>789</v>
      </c>
      <c r="C47" s="6">
        <v>742</v>
      </c>
      <c r="D47" s="6">
        <v>560</v>
      </c>
      <c r="E47" s="6">
        <v>823</v>
      </c>
      <c r="F47" s="6">
        <v>1031</v>
      </c>
      <c r="G47" s="6">
        <v>680</v>
      </c>
    </row>
    <row r="48" spans="1:7" x14ac:dyDescent="0.25">
      <c r="A48" s="9" t="s">
        <v>40</v>
      </c>
      <c r="B48" s="27">
        <f t="shared" si="1"/>
        <v>549.5</v>
      </c>
      <c r="C48" s="6">
        <v>480</v>
      </c>
      <c r="D48" s="6">
        <v>618</v>
      </c>
      <c r="E48" s="6">
        <v>625</v>
      </c>
      <c r="F48" s="6">
        <v>475</v>
      </c>
      <c r="G48" s="6">
        <v>384</v>
      </c>
    </row>
    <row r="49" spans="1:7" x14ac:dyDescent="0.25">
      <c r="A49" s="9" t="s">
        <v>41</v>
      </c>
      <c r="B49" s="27">
        <f t="shared" si="1"/>
        <v>7085.25</v>
      </c>
      <c r="C49" s="6">
        <v>6550</v>
      </c>
      <c r="D49" s="6">
        <v>7242</v>
      </c>
      <c r="E49" s="6">
        <v>7981</v>
      </c>
      <c r="F49" s="6">
        <v>6568</v>
      </c>
      <c r="G49" s="6">
        <v>5376</v>
      </c>
    </row>
    <row r="50" spans="1:7" ht="15.75" thickBot="1" x14ac:dyDescent="0.3">
      <c r="A50" s="9" t="s">
        <v>42</v>
      </c>
      <c r="B50" s="27">
        <f t="shared" si="1"/>
        <v>-1104.25</v>
      </c>
      <c r="C50" s="6">
        <v>53</v>
      </c>
      <c r="D50" s="6">
        <v>-351</v>
      </c>
      <c r="E50" s="6">
        <v>-325</v>
      </c>
      <c r="F50" s="6">
        <v>-3794</v>
      </c>
    </row>
    <row r="51" spans="1:7" ht="15.75" thickBot="1" x14ac:dyDescent="0.3">
      <c r="A51" s="10" t="s">
        <v>43</v>
      </c>
      <c r="B51" s="10"/>
      <c r="C51" s="8">
        <f>SUM(C45:C50)</f>
        <v>9360</v>
      </c>
      <c r="D51" s="8">
        <f>SUM(D45:D50)</f>
        <v>9954</v>
      </c>
      <c r="E51" s="8">
        <f>SUM(E45:E50)</f>
        <v>10591</v>
      </c>
      <c r="F51" s="8">
        <f>SUM(F45:F50)</f>
        <v>10186</v>
      </c>
      <c r="G51" s="8">
        <f>SUM(G45:G50)</f>
        <v>9323</v>
      </c>
    </row>
    <row r="52" spans="1:7" x14ac:dyDescent="0.25">
      <c r="A52" s="10" t="s">
        <v>44</v>
      </c>
      <c r="B52" s="10"/>
      <c r="C52" s="8">
        <f>+C44+C51</f>
        <v>16285</v>
      </c>
      <c r="D52" s="8">
        <f>+D44+D51</f>
        <v>17109</v>
      </c>
      <c r="E52" s="8">
        <f>+E44+E51</f>
        <v>21246</v>
      </c>
      <c r="F52" s="8">
        <f>+F44+F51</f>
        <v>17510</v>
      </c>
      <c r="G52" s="8">
        <f>+G44+G51</f>
        <v>17103</v>
      </c>
    </row>
    <row r="53" spans="1:7" ht="29.25" x14ac:dyDescent="0.25">
      <c r="A53" s="9" t="s">
        <v>45</v>
      </c>
      <c r="B53" s="9"/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x14ac:dyDescent="0.25">
      <c r="A54" s="9" t="s">
        <v>46</v>
      </c>
      <c r="B54" s="27">
        <f t="shared" ref="B54:B59" si="2">AVERAGE(C54:F54)</f>
        <v>221</v>
      </c>
      <c r="C54" s="6">
        <v>221</v>
      </c>
      <c r="D54" s="6">
        <v>221</v>
      </c>
      <c r="E54" s="6">
        <v>221</v>
      </c>
      <c r="F54" s="6">
        <v>221</v>
      </c>
      <c r="G54" s="6">
        <v>220</v>
      </c>
    </row>
    <row r="55" spans="1:7" x14ac:dyDescent="0.25">
      <c r="A55" s="9" t="s">
        <v>47</v>
      </c>
      <c r="B55" s="27">
        <f t="shared" si="2"/>
        <v>1895.5</v>
      </c>
      <c r="C55" s="6">
        <v>1459</v>
      </c>
      <c r="D55" s="6">
        <v>1507</v>
      </c>
      <c r="E55" s="6">
        <v>1922</v>
      </c>
      <c r="F55" s="6">
        <v>2694</v>
      </c>
      <c r="G55" s="6">
        <v>3114</v>
      </c>
    </row>
    <row r="56" spans="1:7" x14ac:dyDescent="0.25">
      <c r="A56" s="9" t="s">
        <v>48</v>
      </c>
      <c r="B56" s="27">
        <f t="shared" si="2"/>
        <v>-2559</v>
      </c>
      <c r="C56" s="6">
        <v>-2468</v>
      </c>
      <c r="D56" s="6">
        <v>-2425</v>
      </c>
      <c r="E56" s="6">
        <v>-2141</v>
      </c>
      <c r="F56" s="6">
        <v>-3202</v>
      </c>
      <c r="G56" s="6">
        <v>-3045</v>
      </c>
    </row>
    <row r="57" spans="1:7" x14ac:dyDescent="0.25">
      <c r="A57" s="9" t="s">
        <v>49</v>
      </c>
      <c r="B57" s="27">
        <f t="shared" si="2"/>
        <v>32459.75</v>
      </c>
      <c r="C57" s="6">
        <v>31613</v>
      </c>
      <c r="D57" s="6">
        <v>32541</v>
      </c>
      <c r="E57" s="6">
        <v>32952</v>
      </c>
      <c r="F57" s="6">
        <v>32733</v>
      </c>
      <c r="G57" s="6">
        <v>33069</v>
      </c>
    </row>
    <row r="58" spans="1:7" x14ac:dyDescent="0.25">
      <c r="A58" s="9" t="s">
        <v>50</v>
      </c>
      <c r="B58" s="27">
        <f t="shared" si="2"/>
        <v>-17543.5</v>
      </c>
      <c r="C58" s="6">
        <v>-16559</v>
      </c>
      <c r="D58" s="6">
        <v>-16992</v>
      </c>
      <c r="E58" s="6">
        <v>-17800</v>
      </c>
      <c r="F58" s="6">
        <v>-18823</v>
      </c>
      <c r="G58" s="6">
        <v>-17402</v>
      </c>
    </row>
    <row r="59" spans="1:7" ht="15.75" thickBot="1" x14ac:dyDescent="0.3">
      <c r="A59" s="9" t="s">
        <v>51</v>
      </c>
      <c r="B59" s="27">
        <f t="shared" si="2"/>
        <v>711.25</v>
      </c>
      <c r="C59" s="6">
        <v>-977</v>
      </c>
      <c r="D59" s="6">
        <v>-302</v>
      </c>
      <c r="E59" s="6">
        <v>411</v>
      </c>
      <c r="F59" s="6">
        <v>3713</v>
      </c>
      <c r="G59" s="6"/>
    </row>
    <row r="60" spans="1:7" ht="30" x14ac:dyDescent="0.25">
      <c r="A60" s="10" t="s">
        <v>52</v>
      </c>
      <c r="B60" s="10"/>
      <c r="C60" s="8">
        <f>SUM(C53:C59)</f>
        <v>13289</v>
      </c>
      <c r="D60" s="8">
        <f>SUM(D53:D59)</f>
        <v>14550</v>
      </c>
      <c r="E60" s="8">
        <f>SUM(E53:E59)</f>
        <v>15565</v>
      </c>
      <c r="F60" s="8">
        <f>SUM(F53:F59)</f>
        <v>17336</v>
      </c>
      <c r="G60" s="8">
        <f>SUM(G53:G59)</f>
        <v>15956</v>
      </c>
    </row>
    <row r="61" spans="1:7" ht="15.75" thickBot="1" x14ac:dyDescent="0.3">
      <c r="A61" s="9" t="s">
        <v>53</v>
      </c>
      <c r="B61" s="27">
        <f>AVERAGE(C61:F61)</f>
        <v>96.5</v>
      </c>
      <c r="C61" s="6">
        <v>158</v>
      </c>
      <c r="D61" s="6">
        <v>131</v>
      </c>
      <c r="E61" s="6">
        <v>82</v>
      </c>
      <c r="F61" s="6">
        <v>15</v>
      </c>
      <c r="G61" s="6">
        <v>-89</v>
      </c>
    </row>
    <row r="62" spans="1:7" ht="15.75" thickBot="1" x14ac:dyDescent="0.3">
      <c r="A62" s="10" t="s">
        <v>54</v>
      </c>
      <c r="B62" s="10"/>
      <c r="C62" s="8">
        <f>SUM(C60:C61)</f>
        <v>13447</v>
      </c>
      <c r="D62" s="8">
        <f>SUM(D60:D61)</f>
        <v>14681</v>
      </c>
      <c r="E62" s="8">
        <f>SUM(E60:E61)</f>
        <v>15647</v>
      </c>
      <c r="F62" s="8">
        <f>SUM(F60:F61)</f>
        <v>17351</v>
      </c>
      <c r="G62" s="8">
        <f>SUM(G60:G61)</f>
        <v>15867</v>
      </c>
    </row>
    <row r="63" spans="1:7" x14ac:dyDescent="0.25">
      <c r="A63" s="10" t="s">
        <v>55</v>
      </c>
      <c r="B63" s="10"/>
      <c r="C63" s="8">
        <f>+C52+C62</f>
        <v>29732</v>
      </c>
      <c r="D63" s="8">
        <f>+D52+D62</f>
        <v>31790</v>
      </c>
      <c r="E63" s="8">
        <f>+E52+E62</f>
        <v>36893</v>
      </c>
      <c r="F63" s="8">
        <f>+F52+F62</f>
        <v>34861</v>
      </c>
      <c r="G63" s="8">
        <f>+G52+G62</f>
        <v>32970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22" sqref="A22"/>
    </sheetView>
  </sheetViews>
  <sheetFormatPr defaultRowHeight="15" x14ac:dyDescent="0.25"/>
  <cols>
    <col min="1" max="1" width="86.140625" bestFit="1" customWidth="1"/>
    <col min="2" max="2" width="20.42578125" customWidth="1"/>
    <col min="3" max="7" width="13.7109375" bestFit="1" customWidth="1"/>
  </cols>
  <sheetData>
    <row r="1" spans="1:7" ht="15.75" x14ac:dyDescent="0.25">
      <c r="A1" s="1" t="s">
        <v>86</v>
      </c>
      <c r="B1" s="1"/>
      <c r="C1" s="2"/>
      <c r="D1" s="2"/>
      <c r="E1" s="2"/>
      <c r="F1" s="2"/>
      <c r="G1" s="2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ht="15.75" thickBot="1" x14ac:dyDescent="0.3">
      <c r="A3" s="3"/>
      <c r="B3" s="3"/>
      <c r="C3" s="3"/>
      <c r="D3" s="3"/>
      <c r="E3" s="3"/>
      <c r="F3" s="3"/>
      <c r="G3" s="3"/>
    </row>
    <row r="4" spans="1:7" ht="15.75" thickBot="1" x14ac:dyDescent="0.3">
      <c r="A4" s="35" t="s">
        <v>57</v>
      </c>
      <c r="B4" s="35"/>
      <c r="C4" s="4">
        <v>42369</v>
      </c>
      <c r="D4" s="4">
        <v>42004</v>
      </c>
      <c r="E4" s="4">
        <v>41639</v>
      </c>
      <c r="F4" s="4">
        <v>41274</v>
      </c>
      <c r="G4" s="4">
        <v>40908</v>
      </c>
    </row>
    <row r="5" spans="1:7" x14ac:dyDescent="0.25">
      <c r="A5" s="5" t="s">
        <v>80</v>
      </c>
      <c r="B5" s="5" t="s">
        <v>115</v>
      </c>
      <c r="C5" s="6">
        <f>'Adjusted Income  Statement'!C30</f>
        <v>957</v>
      </c>
      <c r="D5" s="6">
        <f>'Adjusted Income  Statement'!D30</f>
        <v>1698</v>
      </c>
      <c r="E5" s="6">
        <f>'Adjusted Income  Statement'!E30</f>
        <v>-237</v>
      </c>
      <c r="F5" s="6">
        <f>'Adjusted Income  Statement'!F30</f>
        <v>5342</v>
      </c>
      <c r="G5" s="6">
        <f>'Adjusted Income  Statement'!G30</f>
        <v>5260</v>
      </c>
    </row>
    <row r="6" spans="1:7" x14ac:dyDescent="0.25">
      <c r="A6" s="5" t="s">
        <v>81</v>
      </c>
      <c r="B6" s="5" t="s">
        <v>115</v>
      </c>
      <c r="C6" s="6">
        <f>'Adjusted Income  Statement'!C31</f>
        <v>-66</v>
      </c>
      <c r="D6" s="6">
        <f>'Adjusted Income  Statement'!D31</f>
        <v>-25</v>
      </c>
      <c r="E6" s="6">
        <f>'Adjusted Income  Statement'!E31</f>
        <v>-17</v>
      </c>
      <c r="F6" s="6">
        <f>'Adjusted Income  Statement'!F31</f>
        <v>-541</v>
      </c>
      <c r="G6" s="6">
        <f>'Adjusted Income  Statement'!G31</f>
        <v>-1551</v>
      </c>
    </row>
    <row r="7" spans="1:7" x14ac:dyDescent="0.25">
      <c r="A7" s="5" t="s">
        <v>87</v>
      </c>
      <c r="B7" s="37">
        <f>AVERAGE(C7:F7)</f>
        <v>571.75</v>
      </c>
      <c r="C7" s="6">
        <v>376</v>
      </c>
      <c r="D7" s="6">
        <v>467</v>
      </c>
      <c r="E7" s="6">
        <v>763</v>
      </c>
      <c r="F7" s="6">
        <v>681</v>
      </c>
      <c r="G7" s="6">
        <v>801</v>
      </c>
    </row>
    <row r="8" spans="1:7" x14ac:dyDescent="0.25">
      <c r="A8" s="5" t="s">
        <v>10</v>
      </c>
      <c r="B8" s="37">
        <f t="shared" ref="B8:B13" si="0">AVERAGE(C8:F8)</f>
        <v>-652.5</v>
      </c>
      <c r="C8" s="6">
        <v>-347</v>
      </c>
      <c r="D8" s="6">
        <v>-542</v>
      </c>
      <c r="E8" s="6">
        <v>-491</v>
      </c>
      <c r="F8" s="6">
        <v>-1230</v>
      </c>
      <c r="G8" s="6">
        <v>415</v>
      </c>
    </row>
    <row r="9" spans="1:7" x14ac:dyDescent="0.25">
      <c r="A9" s="5" t="s">
        <v>88</v>
      </c>
      <c r="B9" s="37">
        <f t="shared" si="0"/>
        <v>198.25</v>
      </c>
      <c r="C9" s="6">
        <v>235</v>
      </c>
      <c r="D9" s="6">
        <v>213</v>
      </c>
      <c r="E9" s="6">
        <v>191</v>
      </c>
      <c r="F9" s="6">
        <v>154</v>
      </c>
      <c r="G9" s="6">
        <v>161</v>
      </c>
    </row>
    <row r="10" spans="1:7" x14ac:dyDescent="0.25">
      <c r="A10" s="5" t="s">
        <v>89</v>
      </c>
      <c r="B10" s="37">
        <f t="shared" si="0"/>
        <v>703.25</v>
      </c>
      <c r="C10" s="6">
        <v>192</v>
      </c>
      <c r="D10" s="6">
        <v>401</v>
      </c>
      <c r="E10" s="6">
        <v>40</v>
      </c>
      <c r="F10" s="6">
        <v>2180</v>
      </c>
      <c r="G10" s="6">
        <v>28</v>
      </c>
    </row>
    <row r="11" spans="1:7" x14ac:dyDescent="0.25">
      <c r="A11" s="5" t="s">
        <v>90</v>
      </c>
      <c r="B11" s="37">
        <f t="shared" si="0"/>
        <v>450.5</v>
      </c>
      <c r="C11" s="6">
        <v>245</v>
      </c>
      <c r="D11" s="6">
        <v>971</v>
      </c>
      <c r="E11" s="6">
        <v>294</v>
      </c>
      <c r="F11" s="6">
        <v>292</v>
      </c>
      <c r="G11" s="6">
        <v>0</v>
      </c>
    </row>
    <row r="12" spans="1:7" x14ac:dyDescent="0.25">
      <c r="A12" s="5" t="s">
        <v>91</v>
      </c>
      <c r="B12" s="37">
        <f t="shared" si="0"/>
        <v>892.5</v>
      </c>
      <c r="C12" s="6">
        <v>0</v>
      </c>
      <c r="D12" s="6">
        <v>0</v>
      </c>
      <c r="E12" s="6">
        <v>0</v>
      </c>
      <c r="F12" s="6">
        <v>3570</v>
      </c>
      <c r="G12" s="6">
        <v>0</v>
      </c>
    </row>
    <row r="13" spans="1:7" x14ac:dyDescent="0.25">
      <c r="A13" s="5" t="s">
        <v>92</v>
      </c>
      <c r="B13" s="37">
        <f t="shared" si="0"/>
        <v>-4.25</v>
      </c>
      <c r="C13" s="6">
        <v>594</v>
      </c>
      <c r="D13" s="6">
        <v>-567</v>
      </c>
      <c r="E13" s="6">
        <v>-9</v>
      </c>
      <c r="F13" s="6">
        <v>-35</v>
      </c>
      <c r="G13" s="6">
        <v>-147</v>
      </c>
    </row>
    <row r="14" spans="1:7" x14ac:dyDescent="0.25">
      <c r="A14" s="5" t="s">
        <v>8</v>
      </c>
      <c r="B14" s="5">
        <f t="shared" ref="B14:B19" si="1">(C14/C$20+D14/D$20+E14/E$20+F14/F$20)/4</f>
        <v>-0.99056710951953097</v>
      </c>
      <c r="C14" s="6">
        <v>-942</v>
      </c>
      <c r="D14" s="6">
        <v>-252</v>
      </c>
      <c r="E14" s="6">
        <v>-504</v>
      </c>
      <c r="F14" s="6">
        <v>648</v>
      </c>
      <c r="G14" s="6">
        <v>-220</v>
      </c>
    </row>
    <row r="15" spans="1:7" x14ac:dyDescent="0.25">
      <c r="A15" s="5" t="s">
        <v>9</v>
      </c>
      <c r="B15" s="5">
        <f t="shared" si="1"/>
        <v>-0.35669134200754365</v>
      </c>
      <c r="C15" s="6">
        <v>97</v>
      </c>
      <c r="D15" s="6">
        <v>-254</v>
      </c>
      <c r="E15" s="6">
        <v>-45</v>
      </c>
      <c r="F15" s="6">
        <v>-103</v>
      </c>
      <c r="G15" s="6">
        <v>-193</v>
      </c>
    </row>
    <row r="16" spans="1:7" x14ac:dyDescent="0.25">
      <c r="A16" s="5" t="s">
        <v>23</v>
      </c>
      <c r="B16" s="5">
        <f t="shared" si="1"/>
        <v>0.79161127591637315</v>
      </c>
      <c r="C16" s="6">
        <v>-919</v>
      </c>
      <c r="D16" s="6">
        <v>-44</v>
      </c>
      <c r="E16" s="6">
        <v>412</v>
      </c>
      <c r="F16" s="6">
        <v>-232</v>
      </c>
      <c r="G16" s="6">
        <v>593</v>
      </c>
    </row>
    <row r="17" spans="1:7" x14ac:dyDescent="0.25">
      <c r="A17" s="5" t="s">
        <v>32</v>
      </c>
      <c r="B17" s="5">
        <f t="shared" si="1"/>
        <v>1.8361009763000158</v>
      </c>
      <c r="C17" s="6">
        <v>218</v>
      </c>
      <c r="D17" s="6">
        <v>613</v>
      </c>
      <c r="E17" s="6">
        <v>965</v>
      </c>
      <c r="F17" s="6">
        <v>295</v>
      </c>
      <c r="G17" s="6">
        <v>-115</v>
      </c>
    </row>
    <row r="18" spans="1:7" x14ac:dyDescent="0.25">
      <c r="A18" s="5" t="s">
        <v>34</v>
      </c>
      <c r="B18" s="5">
        <f t="shared" si="1"/>
        <v>0.38343756576883758</v>
      </c>
      <c r="C18" s="6">
        <v>47</v>
      </c>
      <c r="D18" s="6">
        <v>171</v>
      </c>
      <c r="E18" s="6">
        <v>126</v>
      </c>
      <c r="F18" s="6">
        <v>-50</v>
      </c>
      <c r="G18" s="6">
        <v>-134</v>
      </c>
    </row>
    <row r="19" spans="1:7" ht="15.75" thickBot="1" x14ac:dyDescent="0.3">
      <c r="A19" s="5" t="s">
        <v>30</v>
      </c>
      <c r="B19" s="5">
        <f t="shared" si="1"/>
        <v>-0.66389136645815205</v>
      </c>
      <c r="C19" s="6">
        <v>471</v>
      </c>
      <c r="D19" s="6">
        <v>-33</v>
      </c>
      <c r="E19" s="6">
        <v>-760</v>
      </c>
      <c r="F19" s="6">
        <v>-1189</v>
      </c>
      <c r="G19" s="6">
        <v>-58</v>
      </c>
    </row>
    <row r="20" spans="1:7" ht="15.75" thickBot="1" x14ac:dyDescent="0.3">
      <c r="A20" s="7" t="s">
        <v>93</v>
      </c>
      <c r="B20" s="36">
        <f>AVERAGE(C20:F20)</f>
        <v>-316</v>
      </c>
      <c r="C20" s="8">
        <f>SUM(C14:C19)</f>
        <v>-1028</v>
      </c>
      <c r="D20" s="8">
        <f>SUM(D14:D19)</f>
        <v>201</v>
      </c>
      <c r="E20" s="8">
        <f>SUM(E14:E19)</f>
        <v>194</v>
      </c>
      <c r="F20" s="8">
        <f>SUM(F14:F19)</f>
        <v>-631</v>
      </c>
      <c r="G20" s="8">
        <f>SUM(G14:G19)</f>
        <v>-127</v>
      </c>
    </row>
    <row r="21" spans="1:7" ht="15.75" thickBot="1" x14ac:dyDescent="0.3">
      <c r="A21" s="7" t="s">
        <v>94</v>
      </c>
      <c r="B21" s="7"/>
      <c r="C21" s="8">
        <f>+C6+C7+C8+C9+C10+C11+C12+C13+C20</f>
        <v>201</v>
      </c>
      <c r="D21" s="8">
        <f>+D6+D7+D8+D9+D10+D11+D12+D13+D20</f>
        <v>1119</v>
      </c>
      <c r="E21" s="8">
        <f>+E6+E7+E8+E9+E10+E11+E12+E13+E20</f>
        <v>965</v>
      </c>
      <c r="F21" s="8">
        <f>+F6+F7+F8+F9+F10+F11+F12+F13+F20</f>
        <v>4440</v>
      </c>
      <c r="G21" s="8">
        <f>+G6+G7+G8+G9+G10+G11+G12+G13+G20</f>
        <v>-420</v>
      </c>
    </row>
    <row r="22" spans="1:7" x14ac:dyDescent="0.25">
      <c r="A22" s="7" t="s">
        <v>95</v>
      </c>
      <c r="B22" s="7"/>
      <c r="C22" s="8">
        <f>+C5+C21</f>
        <v>1158</v>
      </c>
      <c r="D22" s="8">
        <f>+D5+D21</f>
        <v>2817</v>
      </c>
      <c r="E22" s="8">
        <f>+E5+E21</f>
        <v>728</v>
      </c>
      <c r="F22" s="8">
        <f>+F5+F21</f>
        <v>9782</v>
      </c>
      <c r="G22" s="8">
        <f>+G5+G21</f>
        <v>4840</v>
      </c>
    </row>
    <row r="23" spans="1:7" x14ac:dyDescent="0.25">
      <c r="A23" s="5" t="s">
        <v>96</v>
      </c>
      <c r="B23" s="5">
        <f>(C23/C$28+D23/D$28+E23/E$28+F23/F$28)/4</f>
        <v>-0.57743832252766292</v>
      </c>
      <c r="C23" s="6">
        <v>2794</v>
      </c>
      <c r="D23" s="6">
        <v>4095</v>
      </c>
      <c r="E23" s="6">
        <v>1815</v>
      </c>
      <c r="F23" s="6">
        <v>4890</v>
      </c>
      <c r="G23" s="6">
        <v>5960</v>
      </c>
    </row>
    <row r="24" spans="1:7" x14ac:dyDescent="0.25">
      <c r="A24" s="5" t="s">
        <v>97</v>
      </c>
      <c r="B24" s="5">
        <f>(C24/C$28+D24/D$28+E24/E$28+F24/F$28)/4</f>
        <v>0.27060907027328251</v>
      </c>
      <c r="C24" s="6">
        <v>-3143</v>
      </c>
      <c r="D24" s="6">
        <v>-5719</v>
      </c>
      <c r="E24" s="6">
        <v>-1859</v>
      </c>
      <c r="F24" s="6">
        <v>-3607</v>
      </c>
      <c r="G24" s="6">
        <v>-6819</v>
      </c>
    </row>
    <row r="25" spans="1:7" x14ac:dyDescent="0.25">
      <c r="A25" s="5" t="s">
        <v>98</v>
      </c>
      <c r="B25" s="5">
        <f>(C25/C$28+D25/D$28+E25/E$28+F25/F$28)/4</f>
        <v>0.27733416501727626</v>
      </c>
      <c r="C25" s="6">
        <v>-820</v>
      </c>
      <c r="D25" s="6">
        <v>-526</v>
      </c>
      <c r="E25" s="6">
        <v>-537</v>
      </c>
      <c r="F25" s="6">
        <v>-548</v>
      </c>
      <c r="G25" s="6">
        <v>-367</v>
      </c>
    </row>
    <row r="26" spans="1:7" x14ac:dyDescent="0.25">
      <c r="A26" s="5" t="s">
        <v>99</v>
      </c>
      <c r="B26" s="5">
        <f>(C26/C$28+D26/D$28+E26/E$28+F26/F$28)/4</f>
        <v>0.61799158160930423</v>
      </c>
      <c r="C26" s="6">
        <v>708</v>
      </c>
      <c r="D26" s="6">
        <v>3585</v>
      </c>
      <c r="E26" s="6">
        <v>9</v>
      </c>
      <c r="F26" s="6">
        <v>68</v>
      </c>
      <c r="G26" s="6">
        <v>149</v>
      </c>
    </row>
    <row r="27" spans="1:7" ht="15.75" thickBot="1" x14ac:dyDescent="0.3">
      <c r="A27" s="5" t="s">
        <v>100</v>
      </c>
      <c r="B27" s="5">
        <f>(C27/C$28+D27/D$28+E27/E$28+F27/F$28)/4</f>
        <v>0.4115035056277998</v>
      </c>
      <c r="C27" s="6">
        <v>-1111</v>
      </c>
      <c r="D27" s="6">
        <v>-219</v>
      </c>
      <c r="E27" s="6">
        <v>0</v>
      </c>
      <c r="F27" s="6">
        <v>-7530</v>
      </c>
      <c r="G27" s="6">
        <v>-360</v>
      </c>
    </row>
    <row r="28" spans="1:7" x14ac:dyDescent="0.25">
      <c r="A28" s="7" t="s">
        <v>101</v>
      </c>
      <c r="B28" s="36">
        <f>AVERAGE(C28:F28)</f>
        <v>-1913.75</v>
      </c>
      <c r="C28" s="8">
        <f>SUM(C23:C27)</f>
        <v>-1572</v>
      </c>
      <c r="D28" s="8">
        <f>SUM(D23:D27)</f>
        <v>1216</v>
      </c>
      <c r="E28" s="8">
        <f>SUM(E23:E27)</f>
        <v>-572</v>
      </c>
      <c r="F28" s="8">
        <f>SUM(F23:F27)</f>
        <v>-6727</v>
      </c>
      <c r="G28" s="8">
        <f>SUM(G23:G27)</f>
        <v>-1437</v>
      </c>
    </row>
    <row r="29" spans="1:7" x14ac:dyDescent="0.25">
      <c r="A29" s="5" t="s">
        <v>102</v>
      </c>
      <c r="B29" s="5">
        <f>(C29/C$36+D29/D$36+E29/E$36+F29/F$36)/4</f>
        <v>-4.070876725596774E-2</v>
      </c>
      <c r="C29" s="6">
        <v>-449</v>
      </c>
      <c r="D29" s="6">
        <v>244</v>
      </c>
      <c r="E29" s="6">
        <v>198</v>
      </c>
      <c r="F29" s="6">
        <v>49</v>
      </c>
      <c r="G29" s="6">
        <v>-1</v>
      </c>
    </row>
    <row r="30" spans="1:7" x14ac:dyDescent="0.25">
      <c r="A30" s="5" t="s">
        <v>103</v>
      </c>
      <c r="B30" s="5">
        <f t="shared" ref="B30:B35" si="2">(C30/C$36+D30/D$36+E30/E$36+F30/F$36)/4</f>
        <v>-0.55565597092590246</v>
      </c>
      <c r="C30" s="6">
        <v>1268</v>
      </c>
      <c r="D30" s="6">
        <v>0</v>
      </c>
      <c r="E30" s="6">
        <v>1489</v>
      </c>
      <c r="F30" s="6">
        <v>1950</v>
      </c>
      <c r="G30" s="6" t="s">
        <v>72</v>
      </c>
    </row>
    <row r="31" spans="1:7" x14ac:dyDescent="0.25">
      <c r="A31" s="5" t="s">
        <v>104</v>
      </c>
      <c r="B31" s="5">
        <f t="shared" si="2"/>
        <v>0.47672068352294272</v>
      </c>
      <c r="C31" s="6">
        <v>-1957</v>
      </c>
      <c r="D31" s="6">
        <v>-676</v>
      </c>
      <c r="E31" s="6">
        <v>-597</v>
      </c>
      <c r="F31" s="6">
        <v>-2108</v>
      </c>
      <c r="G31" s="6">
        <v>-78</v>
      </c>
    </row>
    <row r="32" spans="1:7" x14ac:dyDescent="0.25">
      <c r="A32" s="5" t="s">
        <v>105</v>
      </c>
      <c r="B32" s="5">
        <f t="shared" si="2"/>
        <v>-1.5419272536041004E-2</v>
      </c>
      <c r="C32" s="6">
        <v>-2</v>
      </c>
      <c r="D32" s="6">
        <v>105</v>
      </c>
      <c r="E32" s="6">
        <v>20</v>
      </c>
      <c r="F32" s="6">
        <v>2</v>
      </c>
      <c r="G32" s="6">
        <v>296</v>
      </c>
    </row>
    <row r="33" spans="1:7" x14ac:dyDescent="0.25">
      <c r="A33" s="5" t="s">
        <v>106</v>
      </c>
      <c r="B33" s="5">
        <f t="shared" si="2"/>
        <v>-0.20812540965773077</v>
      </c>
      <c r="C33" s="6">
        <v>266</v>
      </c>
      <c r="D33" s="6">
        <v>288</v>
      </c>
      <c r="E33" s="6">
        <v>564</v>
      </c>
      <c r="F33" s="6">
        <v>463</v>
      </c>
      <c r="G33" s="6">
        <v>601</v>
      </c>
    </row>
    <row r="34" spans="1:7" x14ac:dyDescent="0.25">
      <c r="A34" s="5" t="s">
        <v>107</v>
      </c>
      <c r="B34" s="5">
        <f t="shared" si="2"/>
        <v>0.2400029583088068</v>
      </c>
      <c r="C34" s="6">
        <v>0</v>
      </c>
      <c r="D34" s="6">
        <v>0</v>
      </c>
      <c r="E34" s="6">
        <v>-433</v>
      </c>
      <c r="F34" s="6">
        <v>-2403</v>
      </c>
      <c r="G34" s="6">
        <v>-1221</v>
      </c>
    </row>
    <row r="35" spans="1:7" ht="15.75" thickBot="1" x14ac:dyDescent="0.3">
      <c r="A35" s="5" t="s">
        <v>108</v>
      </c>
      <c r="B35" s="5">
        <f t="shared" si="2"/>
        <v>1.1031857785438925</v>
      </c>
      <c r="C35" s="6">
        <v>-2477</v>
      </c>
      <c r="D35" s="6">
        <v>-2398</v>
      </c>
      <c r="E35" s="6">
        <v>-2309</v>
      </c>
      <c r="F35" s="6">
        <v>-2286</v>
      </c>
      <c r="G35" s="6">
        <v>-2254</v>
      </c>
    </row>
    <row r="36" spans="1:7" x14ac:dyDescent="0.25">
      <c r="A36" s="7" t="s">
        <v>109</v>
      </c>
      <c r="B36" s="36">
        <f>AVERAGE(C36:F36)</f>
        <v>-2797.25</v>
      </c>
      <c r="C36" s="8">
        <f>SUM(C29:C35)</f>
        <v>-3351</v>
      </c>
      <c r="D36" s="8">
        <f>SUM(D29:D35)</f>
        <v>-2437</v>
      </c>
      <c r="E36" s="8">
        <f>SUM(E29:E35)</f>
        <v>-1068</v>
      </c>
      <c r="F36" s="8">
        <f>SUM(F29:F35)</f>
        <v>-4333</v>
      </c>
      <c r="G36" s="8">
        <f>SUM(G29:G35)</f>
        <v>-2657</v>
      </c>
    </row>
    <row r="37" spans="1:7" ht="15.75" thickBot="1" x14ac:dyDescent="0.3">
      <c r="A37" s="5" t="s">
        <v>110</v>
      </c>
      <c r="B37" s="37">
        <f>AVERAGE(C37:F37)</f>
        <v>-3.25</v>
      </c>
      <c r="C37" s="6">
        <v>-95</v>
      </c>
      <c r="D37" s="6">
        <v>58</v>
      </c>
      <c r="E37" s="6">
        <v>25</v>
      </c>
      <c r="F37" s="6">
        <v>-1</v>
      </c>
      <c r="G37" s="6">
        <v>-3</v>
      </c>
    </row>
    <row r="38" spans="1:7" x14ac:dyDescent="0.25">
      <c r="A38" s="7" t="s">
        <v>111</v>
      </c>
      <c r="B38" s="7"/>
      <c r="C38" s="8">
        <f>+C22+C28+C36+C37</f>
        <v>-3860</v>
      </c>
      <c r="D38" s="8">
        <f>+D22+D28+D36+D37</f>
        <v>1654</v>
      </c>
      <c r="E38" s="8">
        <f>+E22+E28+E36+E37</f>
        <v>-887</v>
      </c>
      <c r="F38" s="8">
        <f>+F22+F28+F36+F37</f>
        <v>-1279</v>
      </c>
      <c r="G38" s="8">
        <f>+G22+G28+G36+G37</f>
        <v>743</v>
      </c>
    </row>
    <row r="39" spans="1:7" x14ac:dyDescent="0.25">
      <c r="A39" s="5" t="s">
        <v>112</v>
      </c>
      <c r="B39" s="5"/>
      <c r="C39" s="6">
        <f>'Adjusted Balance Sheet'!D5</f>
        <v>5571</v>
      </c>
      <c r="D39" s="6">
        <f>'Adjusted Balance Sheet'!E5</f>
        <v>3586</v>
      </c>
      <c r="E39" s="6">
        <f>'Adjusted Balance Sheet'!F5</f>
        <v>1656</v>
      </c>
      <c r="F39" s="6">
        <f>'Adjusted Balance Sheet'!G5</f>
        <v>5776</v>
      </c>
      <c r="G39" s="6">
        <v>5033</v>
      </c>
    </row>
    <row r="40" spans="1:7" ht="15.75" thickBot="1" x14ac:dyDescent="0.3">
      <c r="A40" s="5" t="s">
        <v>114</v>
      </c>
      <c r="B40" s="5"/>
      <c r="C40" s="6">
        <v>674</v>
      </c>
      <c r="D40" s="6">
        <v>331</v>
      </c>
      <c r="E40" s="6">
        <v>2817</v>
      </c>
      <c r="F40" s="6">
        <v>-2841</v>
      </c>
      <c r="G40" s="6">
        <v>0</v>
      </c>
    </row>
    <row r="41" spans="1:7" x14ac:dyDescent="0.25">
      <c r="A41" s="7" t="s">
        <v>113</v>
      </c>
      <c r="B41" s="7"/>
      <c r="C41" s="8">
        <f>SUM(C38:C40)</f>
        <v>2385</v>
      </c>
      <c r="D41" s="8">
        <f>SUM(D38:D40)</f>
        <v>5571</v>
      </c>
      <c r="E41" s="8">
        <f>SUM(E38:E40)</f>
        <v>3586</v>
      </c>
      <c r="F41" s="8">
        <f>SUM(F38:F40)</f>
        <v>1656</v>
      </c>
      <c r="G41" s="8">
        <f>SUM(G38:G40)</f>
        <v>5776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pane ySplit="4" topLeftCell="A5" activePane="bottomLeft" state="frozen"/>
      <selection pane="bottomLeft" activeCell="E19" sqref="E19"/>
    </sheetView>
  </sheetViews>
  <sheetFormatPr defaultRowHeight="15" x14ac:dyDescent="0.25"/>
  <cols>
    <col min="1" max="1" width="49.85546875" customWidth="1"/>
    <col min="2" max="2" width="13.7109375" bestFit="1" customWidth="1"/>
    <col min="3" max="3" width="15.42578125" customWidth="1"/>
    <col min="4" max="4" width="14.140625" style="24" bestFit="1" customWidth="1"/>
    <col min="5" max="5" width="11.5703125" bestFit="1" customWidth="1"/>
    <col min="6" max="6" width="13.7109375" bestFit="1" customWidth="1"/>
    <col min="7" max="7" width="11.5703125" bestFit="1" customWidth="1"/>
    <col min="8" max="8" width="13.7109375" bestFit="1" customWidth="1"/>
  </cols>
  <sheetData>
    <row r="1" spans="1:8" ht="15.75" x14ac:dyDescent="0.25">
      <c r="A1" s="11" t="s">
        <v>56</v>
      </c>
    </row>
    <row r="2" spans="1:8" x14ac:dyDescent="0.25">
      <c r="A2" s="12" t="s">
        <v>1</v>
      </c>
    </row>
    <row r="3" spans="1:8" x14ac:dyDescent="0.25">
      <c r="A3" s="3"/>
    </row>
    <row r="4" spans="1:8" x14ac:dyDescent="0.25">
      <c r="A4" s="13" t="s">
        <v>57</v>
      </c>
      <c r="B4" s="14">
        <v>42369</v>
      </c>
      <c r="C4" t="s">
        <v>83</v>
      </c>
      <c r="D4" s="25">
        <v>42735</v>
      </c>
      <c r="E4" t="s">
        <v>83</v>
      </c>
      <c r="F4" s="14">
        <v>43100</v>
      </c>
      <c r="G4" t="s">
        <v>83</v>
      </c>
      <c r="H4" s="14">
        <v>43465</v>
      </c>
    </row>
    <row r="5" spans="1:8" x14ac:dyDescent="0.25">
      <c r="A5" s="15" t="s">
        <v>58</v>
      </c>
      <c r="B5" s="16">
        <v>14045</v>
      </c>
      <c r="C5" s="22">
        <v>0.79153373473085742</v>
      </c>
      <c r="D5" s="24">
        <f>D$8*C5</f>
        <v>11722.389440403353</v>
      </c>
      <c r="E5" s="22">
        <v>0.79153373473085742</v>
      </c>
      <c r="F5" s="24">
        <f>F$8*E5</f>
        <v>10708.44145660633</v>
      </c>
      <c r="G5" s="22">
        <v>0.79153373473085742</v>
      </c>
      <c r="H5" s="24">
        <f>H$8*G5</f>
        <v>9782.1966257435142</v>
      </c>
    </row>
    <row r="6" spans="1:8" x14ac:dyDescent="0.25">
      <c r="A6" s="15" t="s">
        <v>59</v>
      </c>
      <c r="B6" s="16">
        <v>2515</v>
      </c>
      <c r="C6" s="22">
        <v>0.22827485243430912</v>
      </c>
      <c r="D6" s="24">
        <f t="shared" ref="D6:F7" si="0">D$8*C6</f>
        <v>3380.6856262360884</v>
      </c>
      <c r="E6" s="22">
        <v>0.22827485243430912</v>
      </c>
      <c r="F6" s="24">
        <f t="shared" si="0"/>
        <v>3088.2674812835771</v>
      </c>
      <c r="G6" s="22">
        <v>0.22827485243430912</v>
      </c>
      <c r="H6" s="24">
        <f>H$8*G6</f>
        <v>2821.1425404177967</v>
      </c>
    </row>
    <row r="7" spans="1:8" x14ac:dyDescent="0.25">
      <c r="A7" s="15" t="s">
        <v>13</v>
      </c>
      <c r="B7" s="17">
        <v>-348</v>
      </c>
      <c r="C7" s="22">
        <v>-1.9808587165166584E-2</v>
      </c>
      <c r="D7" s="24">
        <f t="shared" si="0"/>
        <v>-293.35954088326213</v>
      </c>
      <c r="E7" s="22">
        <v>-1.9808587165166584E-2</v>
      </c>
      <c r="F7" s="24">
        <f t="shared" si="0"/>
        <v>-267.98490915664644</v>
      </c>
      <c r="G7" s="22">
        <v>-1.9808587165166584E-2</v>
      </c>
      <c r="H7" s="24">
        <f>H$8*G7</f>
        <v>-244.80509929715924</v>
      </c>
    </row>
    <row r="8" spans="1:8" x14ac:dyDescent="0.25">
      <c r="A8" s="18" t="s">
        <v>60</v>
      </c>
      <c r="B8" s="19">
        <f>SUM(B5:B7)</f>
        <v>16212</v>
      </c>
      <c r="C8" s="22">
        <v>-8.6496698386616111E-2</v>
      </c>
      <c r="D8" s="24">
        <f>B8*(1+C8)</f>
        <v>14809.715525756179</v>
      </c>
      <c r="E8" s="22">
        <v>-8.6496698386616111E-2</v>
      </c>
      <c r="F8" s="24">
        <f>D8*(1+E8)</f>
        <v>13528.724028733261</v>
      </c>
      <c r="G8" s="22">
        <v>-8.6496698386616111E-2</v>
      </c>
      <c r="H8" s="24">
        <f>F8*(1+G8)</f>
        <v>12358.534066864153</v>
      </c>
    </row>
    <row r="9" spans="1:8" x14ac:dyDescent="0.25">
      <c r="A9" s="15" t="s">
        <v>61</v>
      </c>
      <c r="B9" s="16">
        <v>-3909</v>
      </c>
      <c r="C9" s="22" t="s">
        <v>84</v>
      </c>
      <c r="D9" s="24">
        <f>D10-D8</f>
        <v>-3898.2650767811137</v>
      </c>
      <c r="E9" s="22" t="s">
        <v>84</v>
      </c>
      <c r="F9" s="24">
        <f>F10-F8</f>
        <v>-3561.0780182036997</v>
      </c>
      <c r="G9" s="22" t="s">
        <v>84</v>
      </c>
      <c r="H9" s="24">
        <f>H10-H8</f>
        <v>-3253.056526931925</v>
      </c>
    </row>
    <row r="10" spans="1:8" x14ac:dyDescent="0.25">
      <c r="A10" s="18" t="s">
        <v>62</v>
      </c>
      <c r="B10" s="19">
        <f>SUM(B8:B9)</f>
        <v>12303</v>
      </c>
      <c r="C10" s="22">
        <v>0.73677650526092264</v>
      </c>
      <c r="D10" s="24">
        <f t="shared" ref="D10:F27" si="1">D$8*C10</f>
        <v>10911.450448975065</v>
      </c>
      <c r="E10" s="22">
        <v>0.73677650526092264</v>
      </c>
      <c r="F10" s="24">
        <f t="shared" si="1"/>
        <v>9967.646010529561</v>
      </c>
      <c r="G10" s="22">
        <v>0.73677650526092264</v>
      </c>
      <c r="H10" s="24">
        <f t="shared" ref="H10:H27" si="2">H$8*G10</f>
        <v>9105.477539932228</v>
      </c>
    </row>
    <row r="11" spans="1:8" x14ac:dyDescent="0.25">
      <c r="A11" s="15" t="s">
        <v>63</v>
      </c>
      <c r="B11" s="16">
        <v>-4841</v>
      </c>
      <c r="C11" s="22">
        <v>-0.30216292574525327</v>
      </c>
      <c r="D11" s="24">
        <f t="shared" si="1"/>
        <v>-4474.9469727173891</v>
      </c>
      <c r="E11" s="22">
        <v>-0.30216292574525327</v>
      </c>
      <c r="F11" s="24">
        <f t="shared" si="1"/>
        <v>-4087.8788341221521</v>
      </c>
      <c r="G11" s="22">
        <v>-0.30216292574525327</v>
      </c>
      <c r="H11" s="24">
        <f t="shared" si="2"/>
        <v>-3734.2908115660562</v>
      </c>
    </row>
    <row r="12" spans="1:8" x14ac:dyDescent="0.25">
      <c r="A12" s="15" t="s">
        <v>64</v>
      </c>
      <c r="B12" s="16">
        <v>-5920</v>
      </c>
      <c r="C12" s="22">
        <v>-0.27817629386041393</v>
      </c>
      <c r="D12" s="24">
        <f t="shared" si="1"/>
        <v>-4119.7117780818853</v>
      </c>
      <c r="E12" s="22">
        <v>-0.27817629386041393</v>
      </c>
      <c r="F12" s="24">
        <f t="shared" si="1"/>
        <v>-3763.3703109733465</v>
      </c>
      <c r="G12" s="22">
        <v>-0.27817629386041393</v>
      </c>
      <c r="H12" s="24">
        <f t="shared" si="2"/>
        <v>-3437.851204267939</v>
      </c>
    </row>
    <row r="13" spans="1:8" x14ac:dyDescent="0.25">
      <c r="A13" s="15" t="s">
        <v>65</v>
      </c>
      <c r="B13" s="16">
        <v>0</v>
      </c>
      <c r="C13" s="22">
        <v>-2.1512202003103401E-2</v>
      </c>
      <c r="D13" s="24">
        <f t="shared" si="1"/>
        <v>-318.58959199856361</v>
      </c>
      <c r="E13" s="22">
        <v>-2.1512202003103401E-2</v>
      </c>
      <c r="F13" s="24">
        <f t="shared" si="1"/>
        <v>-291.03264415034874</v>
      </c>
      <c r="G13" s="22">
        <v>-2.1512202003103401E-2</v>
      </c>
      <c r="H13" s="24">
        <f t="shared" si="2"/>
        <v>-265.85928130861663</v>
      </c>
    </row>
    <row r="14" spans="1:8" x14ac:dyDescent="0.25">
      <c r="A14" s="18" t="s">
        <v>66</v>
      </c>
      <c r="B14" s="19">
        <f>SUM(B10:B13)</f>
        <v>1542</v>
      </c>
      <c r="C14" s="22">
        <v>0.13492508365215206</v>
      </c>
      <c r="D14" s="24">
        <f t="shared" si="1"/>
        <v>1998.2021061772275</v>
      </c>
      <c r="E14" s="22">
        <v>0.13492508365215206</v>
      </c>
      <c r="F14" s="24">
        <f t="shared" si="1"/>
        <v>1825.3642212837149</v>
      </c>
      <c r="G14" s="22">
        <v>0.13492508365215206</v>
      </c>
      <c r="H14" s="24">
        <f t="shared" si="2"/>
        <v>1667.4762427896169</v>
      </c>
    </row>
    <row r="15" spans="1:8" x14ac:dyDescent="0.25">
      <c r="A15" s="15" t="s">
        <v>67</v>
      </c>
      <c r="B15" s="16">
        <v>-184</v>
      </c>
      <c r="C15" s="22">
        <v>-1.1901136124498626E-2</v>
      </c>
      <c r="D15" s="24">
        <f t="shared" si="1"/>
        <v>-176.25244043712502</v>
      </c>
      <c r="E15" s="22">
        <v>-1.1901136124498626E-2</v>
      </c>
      <c r="F15" s="24">
        <f t="shared" si="1"/>
        <v>-161.00718625672999</v>
      </c>
      <c r="G15" s="22">
        <v>-1.1901136124498626E-2</v>
      </c>
      <c r="H15" s="24">
        <f t="shared" si="2"/>
        <v>-147.0805962290039</v>
      </c>
    </row>
    <row r="16" spans="1:8" x14ac:dyDescent="0.25">
      <c r="A16" s="15" t="s">
        <v>68</v>
      </c>
      <c r="B16" s="16">
        <v>101</v>
      </c>
      <c r="C16" s="22">
        <v>6.3441450159263772E-3</v>
      </c>
      <c r="D16" s="24">
        <f t="shared" si="1"/>
        <v>93.954982940013551</v>
      </c>
      <c r="E16" s="22">
        <v>6.3441450159263772E-3</v>
      </c>
      <c r="F16" s="24">
        <f t="shared" si="1"/>
        <v>85.828187118731535</v>
      </c>
      <c r="G16" s="22">
        <v>6.3441450159263772E-3</v>
      </c>
      <c r="H16" s="24">
        <f t="shared" si="2"/>
        <v>78.404332304452552</v>
      </c>
    </row>
    <row r="17" spans="1:8" x14ac:dyDescent="0.25">
      <c r="A17" s="15" t="s">
        <v>69</v>
      </c>
      <c r="B17" s="16">
        <v>-118</v>
      </c>
      <c r="C17" s="22">
        <v>-1.0692298989877417E-2</v>
      </c>
      <c r="D17" s="24">
        <f t="shared" si="1"/>
        <v>-158.34990635641469</v>
      </c>
      <c r="E17" s="22">
        <v>-1.0692298989877417E-2</v>
      </c>
      <c r="F17" s="24">
        <f t="shared" si="1"/>
        <v>-144.65316226675498</v>
      </c>
      <c r="G17" s="22">
        <v>-1.0692298989877417E-2</v>
      </c>
      <c r="H17" s="24">
        <f t="shared" si="2"/>
        <v>-132.14114131949722</v>
      </c>
    </row>
    <row r="18" spans="1:8" x14ac:dyDescent="0.25">
      <c r="A18" s="15" t="s">
        <v>29</v>
      </c>
      <c r="B18" s="16">
        <v>-159</v>
      </c>
      <c r="C18" s="22">
        <v>-2.6586736162710228E-3</v>
      </c>
      <c r="D18" s="24">
        <f t="shared" si="1"/>
        <v>-39.374199932807294</v>
      </c>
      <c r="E18" s="22">
        <v>-2.6586736162710228E-3</v>
      </c>
      <c r="F18" s="24">
        <f t="shared" si="1"/>
        <v>-35.968461637004935</v>
      </c>
      <c r="G18" s="22">
        <v>-2.6586736162710228E-3</v>
      </c>
      <c r="H18" s="24">
        <f t="shared" si="2"/>
        <v>-32.85730845935835</v>
      </c>
    </row>
    <row r="19" spans="1:8" x14ac:dyDescent="0.25">
      <c r="A19" s="15" t="s">
        <v>70</v>
      </c>
      <c r="B19" s="16">
        <v>83</v>
      </c>
      <c r="C19" s="22">
        <v>8.250545599645321E-3</v>
      </c>
      <c r="D19" s="24">
        <f t="shared" si="1"/>
        <v>122.18823326302663</v>
      </c>
      <c r="E19" s="22">
        <v>8.250545599645321E-3</v>
      </c>
      <c r="F19" s="24">
        <f t="shared" si="1"/>
        <v>111.61935450408112</v>
      </c>
      <c r="G19" s="22">
        <v>8.250545599645321E-3</v>
      </c>
      <c r="H19" s="24">
        <f t="shared" si="2"/>
        <v>101.96464886343283</v>
      </c>
    </row>
    <row r="20" spans="1:8" x14ac:dyDescent="0.25">
      <c r="A20" s="15" t="s">
        <v>71</v>
      </c>
      <c r="B20" s="16">
        <v>-13</v>
      </c>
      <c r="C20" s="22">
        <v>-1.092201249622159E-3</v>
      </c>
      <c r="D20" s="24">
        <f t="shared" si="1"/>
        <v>-16.175189803779588</v>
      </c>
      <c r="E20" s="22">
        <v>-1.092201249622159E-3</v>
      </c>
      <c r="F20" s="24">
        <f t="shared" si="1"/>
        <v>-14.776089289975797</v>
      </c>
      <c r="G20" s="22">
        <v>-1.092201249622159E-3</v>
      </c>
      <c r="H20" s="24">
        <f t="shared" si="2"/>
        <v>-13.498006351327051</v>
      </c>
    </row>
    <row r="21" spans="1:8" x14ac:dyDescent="0.25">
      <c r="A21" s="15" t="s">
        <v>73</v>
      </c>
      <c r="B21" s="16">
        <v>196</v>
      </c>
      <c r="C21" s="22">
        <v>1.2338851029365718E-2</v>
      </c>
      <c r="D21" s="24">
        <f t="shared" si="1"/>
        <v>182.73487365959008</v>
      </c>
      <c r="E21" s="22">
        <v>1.2338851029365718E-2</v>
      </c>
      <c r="F21" s="24">
        <f t="shared" si="1"/>
        <v>166.92891040794012</v>
      </c>
      <c r="G21" s="22">
        <v>1.2338851029365718E-2</v>
      </c>
      <c r="H21" s="24">
        <f t="shared" si="2"/>
        <v>152.49011079237803</v>
      </c>
    </row>
    <row r="22" spans="1:8" x14ac:dyDescent="0.25">
      <c r="A22" s="15" t="s">
        <v>74</v>
      </c>
      <c r="B22" s="16">
        <v>628</v>
      </c>
      <c r="C22" s="22">
        <v>2.2384442045395768E-2</v>
      </c>
      <c r="D22" s="24">
        <f t="shared" si="1"/>
        <v>331.50721889508708</v>
      </c>
      <c r="E22" s="22">
        <v>2.2384442045395768E-2</v>
      </c>
      <c r="F22" s="24">
        <f t="shared" si="1"/>
        <v>302.83293896933282</v>
      </c>
      <c r="G22" s="22">
        <v>2.2384442045395768E-2</v>
      </c>
      <c r="H22" s="24">
        <f t="shared" si="2"/>
        <v>276.6388895857699</v>
      </c>
    </row>
    <row r="23" spans="1:8" x14ac:dyDescent="0.25">
      <c r="A23" s="15" t="s">
        <v>75</v>
      </c>
      <c r="B23" s="16">
        <v>-160</v>
      </c>
      <c r="C23" s="22">
        <v>-2.094125447050282E-2</v>
      </c>
      <c r="D23" s="24">
        <f t="shared" si="1"/>
        <v>-310.13402146061662</v>
      </c>
      <c r="E23" s="22">
        <v>-2.094125447050282E-2</v>
      </c>
      <c r="F23" s="24">
        <f t="shared" si="1"/>
        <v>-283.30845254690934</v>
      </c>
      <c r="G23" s="22">
        <v>-2.094125447050282E-2</v>
      </c>
      <c r="H23" s="24">
        <f t="shared" si="2"/>
        <v>-258.80320677658034</v>
      </c>
    </row>
    <row r="24" spans="1:8" x14ac:dyDescent="0.25">
      <c r="A24" s="15" t="s">
        <v>76</v>
      </c>
      <c r="B24" s="16">
        <v>-180</v>
      </c>
      <c r="C24" s="22">
        <v>-3.4662870304661142E-3</v>
      </c>
      <c r="D24" s="24">
        <f t="shared" si="1"/>
        <v>-51.334724851821292</v>
      </c>
      <c r="E24" s="22">
        <v>-3.4662870304661142E-3</v>
      </c>
      <c r="F24" s="24">
        <f t="shared" si="1"/>
        <v>-46.89444063955338</v>
      </c>
      <c r="G24" s="22">
        <v>-3.4662870304661142E-3</v>
      </c>
      <c r="H24" s="24">
        <f t="shared" si="2"/>
        <v>-42.838226351544854</v>
      </c>
    </row>
    <row r="25" spans="1:8" x14ac:dyDescent="0.25">
      <c r="A25" s="15" t="s">
        <v>30</v>
      </c>
      <c r="B25" s="16">
        <v>-7</v>
      </c>
      <c r="C25" s="22">
        <v>-1.8885754913585523E-3</v>
      </c>
      <c r="D25" s="24">
        <f t="shared" si="1"/>
        <v>-27.969265775935359</v>
      </c>
      <c r="E25" s="22">
        <v>-1.8885754913585523E-3</v>
      </c>
      <c r="F25" s="24">
        <f t="shared" si="1"/>
        <v>-25.550016630019172</v>
      </c>
      <c r="G25" s="22">
        <v>-1.8885754913585523E-3</v>
      </c>
      <c r="H25" s="24">
        <f t="shared" si="2"/>
        <v>-23.340024547799377</v>
      </c>
    </row>
    <row r="26" spans="1:8" x14ac:dyDescent="0.25">
      <c r="A26" s="18" t="s">
        <v>77</v>
      </c>
      <c r="B26" s="19">
        <f>SUM(B15:B25)</f>
        <v>187</v>
      </c>
      <c r="C26" s="22">
        <v>-3.3224432822635281E-3</v>
      </c>
      <c r="D26" s="24">
        <f t="shared" si="1"/>
        <v>-49.204439860782493</v>
      </c>
      <c r="E26" s="22">
        <v>-3.3224432822635281E-3</v>
      </c>
      <c r="F26" s="24">
        <f t="shared" si="1"/>
        <v>-44.948418266861992</v>
      </c>
      <c r="G26" s="22">
        <v>-3.3224432822635281E-3</v>
      </c>
      <c r="H26" s="24">
        <f t="shared" si="2"/>
        <v>-41.060528489077768</v>
      </c>
    </row>
    <row r="27" spans="1:8" x14ac:dyDescent="0.25">
      <c r="A27" s="18" t="s">
        <v>78</v>
      </c>
      <c r="B27" s="19">
        <f>+B14+B26</f>
        <v>1729</v>
      </c>
      <c r="C27" s="22">
        <v>0.13160264036988856</v>
      </c>
      <c r="D27" s="24">
        <f t="shared" si="1"/>
        <v>1948.9976663164455</v>
      </c>
      <c r="E27" s="22">
        <v>0.13160264036988856</v>
      </c>
      <c r="F27" s="24">
        <f t="shared" si="1"/>
        <v>1780.4158030168533</v>
      </c>
      <c r="G27" s="22">
        <v>0.13160264036988856</v>
      </c>
      <c r="H27" s="24">
        <f t="shared" si="2"/>
        <v>1626.4157143005393</v>
      </c>
    </row>
    <row r="28" spans="1:8" x14ac:dyDescent="0.25">
      <c r="A28" s="15" t="s">
        <v>79</v>
      </c>
      <c r="B28" s="16">
        <v>-446</v>
      </c>
      <c r="C28" s="22">
        <v>0.3</v>
      </c>
      <c r="D28" s="24">
        <f>-D27*C28</f>
        <v>-584.69929989493357</v>
      </c>
      <c r="E28" s="22">
        <v>0.3</v>
      </c>
      <c r="F28" s="24">
        <f>-F27*E28</f>
        <v>-534.124740905056</v>
      </c>
      <c r="G28" s="22">
        <v>0.3</v>
      </c>
      <c r="H28" s="24">
        <f>-H27*G28</f>
        <v>-487.92471429016177</v>
      </c>
    </row>
    <row r="29" spans="1:8" x14ac:dyDescent="0.25">
      <c r="A29" s="15" t="s">
        <v>13</v>
      </c>
      <c r="B29" s="16">
        <v>-326</v>
      </c>
      <c r="C29" s="23">
        <v>-341.75</v>
      </c>
      <c r="D29" s="24">
        <f>$C$29</f>
        <v>-341.75</v>
      </c>
      <c r="E29" s="23">
        <v>-341.75</v>
      </c>
      <c r="F29" s="24">
        <f>$C$29</f>
        <v>-341.75</v>
      </c>
      <c r="G29" s="23">
        <v>-341.75</v>
      </c>
      <c r="H29" s="24">
        <f>$C$29</f>
        <v>-341.75</v>
      </c>
    </row>
    <row r="30" spans="1:8" x14ac:dyDescent="0.25">
      <c r="A30" s="18" t="s">
        <v>80</v>
      </c>
      <c r="B30" s="19">
        <f>SUM(B27:B29)</f>
        <v>957</v>
      </c>
      <c r="C30" s="22"/>
      <c r="D30" s="24">
        <f>D27+D28+D29</f>
        <v>1022.5483664215119</v>
      </c>
      <c r="E30" s="22"/>
      <c r="F30" s="24">
        <f>F27+F28+F29</f>
        <v>904.54106211179715</v>
      </c>
      <c r="G30" s="22"/>
      <c r="H30" s="24">
        <f>H27+H28+H29</f>
        <v>796.74100001037755</v>
      </c>
    </row>
    <row r="31" spans="1:8" x14ac:dyDescent="0.25">
      <c r="A31" s="15" t="s">
        <v>81</v>
      </c>
      <c r="B31" s="16">
        <v>-66</v>
      </c>
      <c r="C31" s="23">
        <v>-162.25</v>
      </c>
      <c r="D31" s="24">
        <f>$C$31</f>
        <v>-162.25</v>
      </c>
      <c r="E31" s="23">
        <v>-162.25</v>
      </c>
      <c r="F31" s="24">
        <f>$C$31</f>
        <v>-162.25</v>
      </c>
      <c r="G31" s="23">
        <v>-162.25</v>
      </c>
      <c r="H31" s="24">
        <f>$C$31</f>
        <v>-162.25</v>
      </c>
    </row>
    <row r="32" spans="1:8" x14ac:dyDescent="0.25">
      <c r="A32" s="18" t="s">
        <v>82</v>
      </c>
      <c r="B32" s="19">
        <f>SUM(B30:B31)</f>
        <v>891</v>
      </c>
      <c r="D32" s="24">
        <f>SUM(D30:D31)</f>
        <v>860.2983664215119</v>
      </c>
      <c r="F32" s="24">
        <f>SUM(F30:F31)</f>
        <v>742.29106211179715</v>
      </c>
      <c r="H32" s="24">
        <f>SUM(H30:H31)</f>
        <v>634.49100001037755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52" workbookViewId="0">
      <selection activeCell="E67" sqref="E67"/>
    </sheetView>
  </sheetViews>
  <sheetFormatPr defaultColWidth="26.140625" defaultRowHeight="15" x14ac:dyDescent="0.25"/>
  <cols>
    <col min="1" max="1" width="40" customWidth="1"/>
    <col min="2" max="2" width="26.140625" style="24"/>
    <col min="3" max="3" width="26.140625" style="28"/>
    <col min="4" max="4" width="11.85546875" style="24" customWidth="1"/>
    <col min="5" max="5" width="26.140625" style="28"/>
    <col min="6" max="6" width="26.140625" style="24"/>
    <col min="7" max="7" width="26.140625" style="28"/>
    <col min="8" max="8" width="26.140625" style="24"/>
  </cols>
  <sheetData>
    <row r="1" spans="1:9" ht="15.75" x14ac:dyDescent="0.25">
      <c r="A1" s="1" t="s">
        <v>0</v>
      </c>
      <c r="B1" s="39"/>
    </row>
    <row r="2" spans="1:9" x14ac:dyDescent="0.25">
      <c r="A2" s="2" t="s">
        <v>1</v>
      </c>
      <c r="B2" s="39"/>
    </row>
    <row r="3" spans="1:9" x14ac:dyDescent="0.25">
      <c r="A3" s="3"/>
      <c r="B3" s="33"/>
    </row>
    <row r="4" spans="1:9" x14ac:dyDescent="0.25">
      <c r="A4" s="2"/>
      <c r="B4" s="25">
        <v>42369</v>
      </c>
      <c r="C4" t="s">
        <v>83</v>
      </c>
      <c r="D4" s="25">
        <v>42735</v>
      </c>
      <c r="E4" t="s">
        <v>83</v>
      </c>
      <c r="F4" s="25">
        <v>43100</v>
      </c>
      <c r="G4" t="s">
        <v>83</v>
      </c>
      <c r="H4" s="25">
        <v>43465</v>
      </c>
      <c r="I4" s="14"/>
    </row>
    <row r="5" spans="1:9" x14ac:dyDescent="0.25">
      <c r="A5" s="5" t="s">
        <v>2</v>
      </c>
      <c r="B5" s="40">
        <v>2385</v>
      </c>
      <c r="C5" s="29">
        <v>0.21037654231153533</v>
      </c>
      <c r="D5" s="24">
        <f>C5*'Forecasted Income Statement'!D$8</f>
        <v>3115.6167449260465</v>
      </c>
      <c r="E5" s="29">
        <v>0.21037654231153533</v>
      </c>
      <c r="F5" s="24">
        <f>E5*'Forecasted Income Statement'!F$8</f>
        <v>2846.1261830518874</v>
      </c>
      <c r="G5" s="29">
        <v>0.21037654231153533</v>
      </c>
      <c r="H5" s="24">
        <f>G5*'Forecasted Income Statement'!H$8</f>
        <v>2599.9456650261973</v>
      </c>
    </row>
    <row r="6" spans="1:9" x14ac:dyDescent="0.25">
      <c r="A6" s="5" t="s">
        <v>3</v>
      </c>
      <c r="B6" s="40">
        <v>1885</v>
      </c>
      <c r="C6" s="29">
        <v>1465.25</v>
      </c>
      <c r="D6" s="24">
        <f>C6</f>
        <v>1465.25</v>
      </c>
      <c r="E6" s="29">
        <v>1465.25</v>
      </c>
      <c r="F6" s="24">
        <f>E6</f>
        <v>1465.25</v>
      </c>
      <c r="G6" s="29">
        <v>1465.25</v>
      </c>
      <c r="H6" s="24">
        <f>G6</f>
        <v>1465.25</v>
      </c>
    </row>
    <row r="7" spans="1:9" x14ac:dyDescent="0.25">
      <c r="A7" s="5" t="s">
        <v>4</v>
      </c>
      <c r="B7" s="40">
        <v>2948</v>
      </c>
      <c r="C7" s="29">
        <v>0.13011280307617595</v>
      </c>
      <c r="D7" s="24">
        <f>C7*'Forecasted Income Statement'!D$8</f>
        <v>1926.9335998168992</v>
      </c>
      <c r="E7" s="29">
        <v>0.13011280307617595</v>
      </c>
      <c r="F7" s="24">
        <f>E7*'Forecasted Income Statement'!F$8</f>
        <v>1760.2602054225006</v>
      </c>
      <c r="G7" s="29">
        <v>0.13011280307617595</v>
      </c>
      <c r="H7" s="24">
        <f>G7*'Forecasted Income Statement'!H$8</f>
        <v>1608.0035093521076</v>
      </c>
    </row>
    <row r="8" spans="1:9" x14ac:dyDescent="0.25">
      <c r="A8" s="5" t="s">
        <v>5</v>
      </c>
      <c r="B8" s="40">
        <v>958</v>
      </c>
      <c r="C8" s="29">
        <v>5.9950607624820469E-2</v>
      </c>
      <c r="D8" s="24">
        <f>C8*'Forecasted Income Statement'!D$8</f>
        <v>887.85144451982046</v>
      </c>
      <c r="E8" s="29">
        <v>5.9950607624820469E-2</v>
      </c>
      <c r="F8" s="24">
        <f>E8*'Forecasted Income Statement'!F$8</f>
        <v>811.05522591106808</v>
      </c>
      <c r="G8" s="29">
        <v>5.9950607624820469E-2</v>
      </c>
      <c r="H8" s="24">
        <f>G8*'Forecasted Income Statement'!H$8</f>
        <v>740.9016266605496</v>
      </c>
    </row>
    <row r="9" spans="1:9" x14ac:dyDescent="0.25">
      <c r="A9" s="5" t="s">
        <v>6</v>
      </c>
      <c r="B9" s="40">
        <v>182</v>
      </c>
      <c r="C9" s="29">
        <v>1.4303003785618634E-2</v>
      </c>
      <c r="D9" s="24">
        <f>C9*'Forecasted Income Statement'!D$8</f>
        <v>211.82341722882569</v>
      </c>
      <c r="E9" s="29">
        <v>1.4303003785618634E-2</v>
      </c>
      <c r="F9" s="24">
        <f>E9*'Forecasted Income Statement'!F$8</f>
        <v>193.5013909975616</v>
      </c>
      <c r="G9" s="29">
        <v>1.4303003785618634E-2</v>
      </c>
      <c r="H9" s="24">
        <f>G9*'Forecasted Income Statement'!H$8</f>
        <v>176.76415954305483</v>
      </c>
    </row>
    <row r="10" spans="1:9" ht="15.75" thickBot="1" x14ac:dyDescent="0.3">
      <c r="A10" s="5" t="s">
        <v>7</v>
      </c>
      <c r="B10" s="40">
        <v>211</v>
      </c>
      <c r="C10" s="29">
        <v>1.4504861328902635E-2</v>
      </c>
      <c r="D10" s="24">
        <f>C10*'Forecasted Income Statement'!D$8</f>
        <v>214.81287002158976</v>
      </c>
      <c r="E10" s="29">
        <v>1.4504861328902635E-2</v>
      </c>
      <c r="F10" s="24">
        <f>E10*'Forecasted Income Statement'!F$8</f>
        <v>196.23226599376895</v>
      </c>
      <c r="G10" s="29">
        <v>1.4504861328902635E-2</v>
      </c>
      <c r="H10" s="24">
        <f>G10*'Forecasted Income Statement'!H$8</f>
        <v>179.25882286838367</v>
      </c>
    </row>
    <row r="11" spans="1:9" x14ac:dyDescent="0.25">
      <c r="A11" s="7" t="s">
        <v>8</v>
      </c>
      <c r="B11" s="32">
        <f>SUM(B7:B10)</f>
        <v>4299</v>
      </c>
      <c r="C11" s="29">
        <v>0.21887127581551769</v>
      </c>
      <c r="D11" s="24">
        <f>C11*'Forecasted Income Statement'!D$8</f>
        <v>3241.4213315871352</v>
      </c>
      <c r="E11" s="29">
        <v>0.21887127581551769</v>
      </c>
      <c r="F11" s="24">
        <f>E11*'Forecasted Income Statement'!F$8</f>
        <v>2961.049088324899</v>
      </c>
      <c r="G11" s="29">
        <v>0.21887127581551769</v>
      </c>
      <c r="H11" s="24">
        <f>G11*'Forecasted Income Statement'!H$8</f>
        <v>2704.9281184240954</v>
      </c>
    </row>
    <row r="12" spans="1:9" x14ac:dyDescent="0.25">
      <c r="A12" s="5" t="s">
        <v>9</v>
      </c>
      <c r="B12" s="40">
        <v>1221</v>
      </c>
      <c r="C12" s="29">
        <v>2.8968920014614015</v>
      </c>
      <c r="D12" s="24">
        <f>-'Forecasted Income Statement'!D$9/'Forecasted Balance Sheet'!C12</f>
        <v>1345.6715247977997</v>
      </c>
      <c r="E12" s="29">
        <v>2.8968920014614015</v>
      </c>
      <c r="F12" s="24">
        <f>-'Forecasted Income Statement'!F$9/'Forecasted Balance Sheet'!E12</f>
        <v>1229.2753807899069</v>
      </c>
      <c r="G12" s="29">
        <v>2.8968920014614015</v>
      </c>
      <c r="H12" s="24">
        <f>-'Forecasted Income Statement'!H$9/'Forecasted Balance Sheet'!G12</f>
        <v>1122.9471189436294</v>
      </c>
    </row>
    <row r="13" spans="1:9" x14ac:dyDescent="0.25">
      <c r="A13" s="5" t="s">
        <v>10</v>
      </c>
      <c r="B13" s="40">
        <v>0</v>
      </c>
      <c r="C13" s="29">
        <v>1235.5</v>
      </c>
      <c r="D13" s="24">
        <f>C13</f>
        <v>1235.5</v>
      </c>
      <c r="E13" s="29">
        <v>1235.5</v>
      </c>
      <c r="F13" s="24">
        <f>E13</f>
        <v>1235.5</v>
      </c>
      <c r="G13" s="29">
        <v>1235.5</v>
      </c>
      <c r="H13" s="24">
        <f>G13</f>
        <v>1235.5</v>
      </c>
    </row>
    <row r="14" spans="1:9" x14ac:dyDescent="0.25">
      <c r="A14" s="5" t="s">
        <v>11</v>
      </c>
      <c r="B14" s="40">
        <v>491</v>
      </c>
      <c r="C14" s="29">
        <v>432</v>
      </c>
      <c r="D14" s="24">
        <f t="shared" ref="D14:F24" si="0">C14</f>
        <v>432</v>
      </c>
      <c r="E14" s="29">
        <v>432</v>
      </c>
      <c r="F14" s="24">
        <f t="shared" si="0"/>
        <v>432</v>
      </c>
      <c r="G14" s="29">
        <v>432</v>
      </c>
      <c r="H14" s="24">
        <f>G14</f>
        <v>432</v>
      </c>
    </row>
    <row r="15" spans="1:9" x14ac:dyDescent="0.25">
      <c r="A15" s="5" t="s">
        <v>12</v>
      </c>
      <c r="B15" s="40">
        <v>134</v>
      </c>
      <c r="C15" s="29">
        <v>1915.75</v>
      </c>
      <c r="D15" s="24">
        <f t="shared" si="0"/>
        <v>1915.75</v>
      </c>
      <c r="E15" s="29">
        <v>1915.75</v>
      </c>
      <c r="F15" s="24">
        <f t="shared" si="0"/>
        <v>1915.75</v>
      </c>
      <c r="G15" s="29">
        <v>1915.75</v>
      </c>
      <c r="H15" s="24">
        <f>G15</f>
        <v>1915.75</v>
      </c>
    </row>
    <row r="16" spans="1:9" ht="15.75" thickBot="1" x14ac:dyDescent="0.3">
      <c r="A16" s="5" t="s">
        <v>13</v>
      </c>
      <c r="B16" s="40">
        <v>122</v>
      </c>
      <c r="C16" s="29">
        <v>-1164.75</v>
      </c>
      <c r="D16" s="24">
        <f t="shared" si="0"/>
        <v>-1164.75</v>
      </c>
      <c r="E16" s="29">
        <v>-1164.75</v>
      </c>
      <c r="F16" s="24">
        <f t="shared" si="0"/>
        <v>-1164.75</v>
      </c>
      <c r="G16" s="29">
        <v>-1164.75</v>
      </c>
      <c r="H16" s="24">
        <f>G16</f>
        <v>-1164.75</v>
      </c>
    </row>
    <row r="17" spans="1:8" x14ac:dyDescent="0.25">
      <c r="A17" s="7" t="s">
        <v>14</v>
      </c>
      <c r="B17" s="32">
        <f>+B5+B6+B11+B12+B13+B14+B15+B16</f>
        <v>10537</v>
      </c>
      <c r="C17" s="29"/>
      <c r="D17" s="32">
        <f>+D5+D6+D11+D12+D13+D14+D15+D16</f>
        <v>11586.45960131098</v>
      </c>
      <c r="E17" s="29"/>
      <c r="F17" s="32">
        <f>+F5+F6+F11+F12+F13+F14+F15+F16</f>
        <v>10920.200652166692</v>
      </c>
      <c r="G17" s="29"/>
      <c r="H17" s="32">
        <f>+H5+H6+H11+H12+H13+H14+H15+H16</f>
        <v>10311.570902393922</v>
      </c>
    </row>
    <row r="18" spans="1:8" x14ac:dyDescent="0.25">
      <c r="A18" s="5" t="s">
        <v>15</v>
      </c>
      <c r="B18" s="40">
        <v>4412</v>
      </c>
      <c r="C18" s="29">
        <v>4685.25</v>
      </c>
      <c r="D18" s="24">
        <f t="shared" si="0"/>
        <v>4685.25</v>
      </c>
      <c r="E18" s="29">
        <v>4685.25</v>
      </c>
      <c r="F18" s="24">
        <f t="shared" si="0"/>
        <v>4685.25</v>
      </c>
      <c r="G18" s="29">
        <v>4685.25</v>
      </c>
      <c r="H18" s="24">
        <f t="shared" ref="H18:H24" si="1">G18</f>
        <v>4685.25</v>
      </c>
    </row>
    <row r="19" spans="1:8" x14ac:dyDescent="0.25">
      <c r="A19" s="5" t="s">
        <v>16</v>
      </c>
      <c r="B19" s="40">
        <v>6881</v>
      </c>
      <c r="C19" s="29">
        <v>7159.75</v>
      </c>
      <c r="D19" s="24">
        <f t="shared" si="0"/>
        <v>7159.75</v>
      </c>
      <c r="E19" s="29">
        <v>7159.75</v>
      </c>
      <c r="F19" s="24">
        <f t="shared" si="0"/>
        <v>7159.75</v>
      </c>
      <c r="G19" s="29">
        <v>7159.75</v>
      </c>
      <c r="H19" s="24">
        <f t="shared" si="1"/>
        <v>7159.75</v>
      </c>
    </row>
    <row r="20" spans="1:8" x14ac:dyDescent="0.25">
      <c r="A20" s="5" t="s">
        <v>17</v>
      </c>
      <c r="B20" s="40">
        <v>1419</v>
      </c>
      <c r="C20" s="29">
        <v>3567</v>
      </c>
      <c r="D20" s="24">
        <f t="shared" si="0"/>
        <v>3567</v>
      </c>
      <c r="E20" s="29">
        <v>3567</v>
      </c>
      <c r="F20" s="24">
        <f t="shared" si="0"/>
        <v>3567</v>
      </c>
      <c r="G20" s="29">
        <v>3567</v>
      </c>
      <c r="H20" s="24">
        <f t="shared" si="1"/>
        <v>3567</v>
      </c>
    </row>
    <row r="21" spans="1:8" x14ac:dyDescent="0.25">
      <c r="A21" s="5" t="s">
        <v>10</v>
      </c>
      <c r="B21" s="40">
        <v>2844</v>
      </c>
      <c r="C21" s="29">
        <v>1117.5</v>
      </c>
      <c r="D21" s="24">
        <f t="shared" si="0"/>
        <v>1117.5</v>
      </c>
      <c r="E21" s="29">
        <v>1117.5</v>
      </c>
      <c r="F21" s="24">
        <f t="shared" si="0"/>
        <v>1117.5</v>
      </c>
      <c r="G21" s="29">
        <v>1117.5</v>
      </c>
      <c r="H21" s="24">
        <f t="shared" si="1"/>
        <v>1117.5</v>
      </c>
    </row>
    <row r="22" spans="1:8" x14ac:dyDescent="0.25">
      <c r="A22" s="5" t="s">
        <v>3</v>
      </c>
      <c r="B22" s="40">
        <v>4660</v>
      </c>
      <c r="C22" s="29">
        <v>4084.5</v>
      </c>
      <c r="D22" s="24">
        <f t="shared" si="0"/>
        <v>4084.5</v>
      </c>
      <c r="E22" s="29">
        <v>4084.5</v>
      </c>
      <c r="F22" s="24">
        <f t="shared" si="0"/>
        <v>4084.5</v>
      </c>
      <c r="G22" s="29">
        <v>4084.5</v>
      </c>
      <c r="H22" s="24">
        <f t="shared" si="1"/>
        <v>4084.5</v>
      </c>
    </row>
    <row r="23" spans="1:8" x14ac:dyDescent="0.25">
      <c r="A23" s="5" t="s">
        <v>18</v>
      </c>
      <c r="B23" s="40">
        <v>1117</v>
      </c>
      <c r="C23" s="29">
        <v>1017.5</v>
      </c>
      <c r="D23" s="24">
        <f t="shared" si="0"/>
        <v>1017.5</v>
      </c>
      <c r="E23" s="29">
        <v>1017.5</v>
      </c>
      <c r="F23" s="24">
        <f t="shared" si="0"/>
        <v>1017.5</v>
      </c>
      <c r="G23" s="29">
        <v>1017.5</v>
      </c>
      <c r="H23" s="24">
        <f t="shared" si="1"/>
        <v>1017.5</v>
      </c>
    </row>
    <row r="24" spans="1:8" ht="15.75" thickBot="1" x14ac:dyDescent="0.3">
      <c r="A24" s="5" t="s">
        <v>19</v>
      </c>
      <c r="B24" s="40">
        <v>-2138</v>
      </c>
      <c r="C24" s="29">
        <v>-512.75</v>
      </c>
      <c r="D24" s="24">
        <f t="shared" si="0"/>
        <v>-512.75</v>
      </c>
      <c r="E24" s="29">
        <v>-512.75</v>
      </c>
      <c r="F24" s="24">
        <f t="shared" si="0"/>
        <v>-512.75</v>
      </c>
      <c r="G24" s="29">
        <v>-512.75</v>
      </c>
      <c r="H24" s="24">
        <f t="shared" si="1"/>
        <v>-512.75</v>
      </c>
    </row>
    <row r="25" spans="1:8" ht="15.75" thickBot="1" x14ac:dyDescent="0.3">
      <c r="A25" s="7" t="s">
        <v>20</v>
      </c>
      <c r="B25" s="32">
        <f>SUM(B18:B24)</f>
        <v>19195</v>
      </c>
      <c r="C25" s="29"/>
      <c r="D25" s="32">
        <f>SUM(D18:D24)</f>
        <v>21118.75</v>
      </c>
      <c r="E25" s="29"/>
      <c r="F25" s="32">
        <f>SUM(F18:F24)</f>
        <v>21118.75</v>
      </c>
      <c r="G25" s="29"/>
      <c r="H25" s="32">
        <f>SUM(H18:H24)</f>
        <v>21118.75</v>
      </c>
    </row>
    <row r="26" spans="1:8" x14ac:dyDescent="0.25">
      <c r="A26" s="7" t="s">
        <v>21</v>
      </c>
      <c r="B26" s="32">
        <f>+B17+B25</f>
        <v>29732</v>
      </c>
      <c r="C26" s="29"/>
      <c r="D26" s="32">
        <f>+D17+D25</f>
        <v>32705.20960131098</v>
      </c>
      <c r="E26" s="29"/>
      <c r="F26" s="32">
        <f>+F17+F25</f>
        <v>32038.950652166692</v>
      </c>
      <c r="G26" s="29"/>
      <c r="H26" s="32">
        <f>+H17+H25</f>
        <v>31430.32090239392</v>
      </c>
    </row>
    <row r="27" spans="1:8" x14ac:dyDescent="0.25">
      <c r="C27" s="29"/>
      <c r="E27" s="29"/>
      <c r="G27" s="29"/>
    </row>
    <row r="28" spans="1:8" x14ac:dyDescent="0.25">
      <c r="A28" s="5" t="s">
        <v>22</v>
      </c>
      <c r="B28" s="40">
        <v>139</v>
      </c>
      <c r="C28" s="30">
        <v>478.5</v>
      </c>
      <c r="D28" s="33">
        <f>C28</f>
        <v>478.5</v>
      </c>
      <c r="E28" s="30">
        <v>478.5</v>
      </c>
      <c r="F28" s="33"/>
      <c r="G28" s="30">
        <v>478.5</v>
      </c>
      <c r="H28" s="33"/>
    </row>
    <row r="29" spans="1:8" x14ac:dyDescent="0.25">
      <c r="A29" s="5" t="s">
        <v>23</v>
      </c>
      <c r="B29" s="40">
        <v>1565</v>
      </c>
      <c r="C29" s="31">
        <v>1.9943345399909505</v>
      </c>
      <c r="D29" s="33">
        <f>-'Forecasted Income Statement'!D$9/'Forecasted Balance Sheet'!C29</f>
        <v>1954.6695895859091</v>
      </c>
      <c r="E29" s="31">
        <v>1.9943345399909505</v>
      </c>
      <c r="F29" s="33">
        <f>-'Forecasted Income Statement'!F$9/'Forecasted Balance Sheet'!E29</f>
        <v>1785.5971236500063</v>
      </c>
      <c r="G29" s="31">
        <v>1.9943345399909505</v>
      </c>
      <c r="H29" s="33">
        <f>-'Forecasted Income Statement'!H$9/'Forecasted Balance Sheet'!G29</f>
        <v>1631.1488678056421</v>
      </c>
    </row>
    <row r="30" spans="1:8" x14ac:dyDescent="0.25">
      <c r="A30" s="5" t="s">
        <v>24</v>
      </c>
      <c r="B30" s="40">
        <v>904</v>
      </c>
      <c r="C30" s="30">
        <v>0.17219183370995655</v>
      </c>
      <c r="D30" s="33">
        <f>-C30*'Forecasted Income Statement'!D11</f>
        <v>770.54932498702613</v>
      </c>
      <c r="E30" s="30">
        <v>0.17219183370995655</v>
      </c>
      <c r="F30" s="33">
        <f>-E30*'Forecasted Income Statement'!F11</f>
        <v>703.89935243161267</v>
      </c>
      <c r="G30" s="30">
        <v>0.17219183370995655</v>
      </c>
      <c r="H30" s="33">
        <f>-G30*'Forecasted Income Statement'!H11</f>
        <v>643.01438244980102</v>
      </c>
    </row>
    <row r="31" spans="1:8" x14ac:dyDescent="0.25">
      <c r="A31" s="5" t="s">
        <v>25</v>
      </c>
      <c r="B31" s="40">
        <v>161</v>
      </c>
      <c r="C31" s="30">
        <v>174.75</v>
      </c>
      <c r="D31" s="33">
        <f>C31</f>
        <v>174.75</v>
      </c>
      <c r="E31" s="30">
        <v>174.75</v>
      </c>
      <c r="F31" s="33">
        <f>E31</f>
        <v>174.75</v>
      </c>
      <c r="G31" s="30">
        <v>174.75</v>
      </c>
      <c r="H31" s="33">
        <f>G31</f>
        <v>174.75</v>
      </c>
    </row>
    <row r="32" spans="1:8" x14ac:dyDescent="0.25">
      <c r="A32" s="5" t="s">
        <v>26</v>
      </c>
      <c r="B32" s="40">
        <v>553</v>
      </c>
      <c r="C32" s="34">
        <v>0.10011963392754383</v>
      </c>
      <c r="D32" s="33">
        <f>-C32*'Forecasted Income Statement'!D12</f>
        <v>412.46403510854907</v>
      </c>
      <c r="E32" s="34">
        <v>0.10011963392754383</v>
      </c>
      <c r="F32" s="33">
        <f>-E32*'Forecasted Income Statement'!F12</f>
        <v>376.78725786843825</v>
      </c>
      <c r="G32" s="34">
        <v>0.10011963392754383</v>
      </c>
      <c r="H32" s="33">
        <f>-G32*'Forecasted Income Statement'!H12</f>
        <v>344.19640406867177</v>
      </c>
    </row>
    <row r="33" spans="1:8" x14ac:dyDescent="0.25">
      <c r="A33" s="5" t="s">
        <v>27</v>
      </c>
      <c r="B33" s="40">
        <v>89</v>
      </c>
      <c r="C33" s="34">
        <v>102.5</v>
      </c>
      <c r="D33" s="33">
        <f>C33</f>
        <v>102.5</v>
      </c>
      <c r="E33" s="34">
        <v>102.5</v>
      </c>
      <c r="F33" s="33">
        <f>E33</f>
        <v>102.5</v>
      </c>
      <c r="G33" s="34">
        <v>102.5</v>
      </c>
      <c r="H33" s="33">
        <f>G33</f>
        <v>102.5</v>
      </c>
    </row>
    <row r="34" spans="1:8" x14ac:dyDescent="0.25">
      <c r="A34" s="5" t="s">
        <v>28</v>
      </c>
      <c r="B34" s="40">
        <v>47</v>
      </c>
      <c r="C34" s="34">
        <v>9.6846550232430086E-3</v>
      </c>
      <c r="D34" s="33">
        <f>-C34*'Forecasted Income Statement'!D$11</f>
        <v>43.338317678073558</v>
      </c>
      <c r="E34" s="34">
        <v>9.6846550232430086E-3</v>
      </c>
      <c r="F34" s="33">
        <f>-E34*'Forecasted Income Statement'!F$11</f>
        <v>39.589696285289875</v>
      </c>
      <c r="G34" s="34">
        <v>9.6846550232430086E-3</v>
      </c>
      <c r="H34" s="33">
        <f>-G34*'Forecasted Income Statement'!H$11</f>
        <v>36.165318266483418</v>
      </c>
    </row>
    <row r="35" spans="1:8" x14ac:dyDescent="0.25">
      <c r="A35" s="5" t="s">
        <v>29</v>
      </c>
      <c r="B35" s="40">
        <v>189</v>
      </c>
      <c r="C35" s="34">
        <v>2.3352438518413073E-2</v>
      </c>
      <c r="D35" s="33">
        <f>-C35*'Forecasted Income Statement'!D$11</f>
        <v>104.50092405354152</v>
      </c>
      <c r="E35" s="34">
        <v>2.3352438518413073E-2</v>
      </c>
      <c r="F35" s="33">
        <f>-E35*'Forecasted Income Statement'!F$11</f>
        <v>95.461939144559665</v>
      </c>
      <c r="G35" s="34">
        <v>2.3352438518413073E-2</v>
      </c>
      <c r="H35" s="33">
        <f>-G35*'Forecasted Income Statement'!H$11</f>
        <v>87.204796586971185</v>
      </c>
    </row>
    <row r="36" spans="1:8" ht="15.75" thickBot="1" x14ac:dyDescent="0.3">
      <c r="A36" s="5" t="s">
        <v>30</v>
      </c>
      <c r="B36" s="40">
        <v>816</v>
      </c>
      <c r="C36" s="34">
        <v>753.5</v>
      </c>
      <c r="D36" s="33">
        <f>C36</f>
        <v>753.5</v>
      </c>
      <c r="E36" s="34">
        <v>753.5</v>
      </c>
      <c r="F36" s="33">
        <f>E36</f>
        <v>753.5</v>
      </c>
      <c r="G36" s="34">
        <v>753.5</v>
      </c>
      <c r="H36" s="33">
        <f>G36</f>
        <v>753.5</v>
      </c>
    </row>
    <row r="37" spans="1:8" x14ac:dyDescent="0.25">
      <c r="A37" s="7" t="s">
        <v>31</v>
      </c>
      <c r="B37" s="32">
        <f>SUM(B30:B36)</f>
        <v>2759</v>
      </c>
      <c r="C37" s="34"/>
      <c r="D37" s="32">
        <f>SUM(D30:D36)</f>
        <v>2361.60260182719</v>
      </c>
      <c r="E37" s="34"/>
      <c r="F37" s="32">
        <f>SUM(F30:F36)</f>
        <v>2246.4882457299004</v>
      </c>
      <c r="G37" s="34"/>
      <c r="H37" s="32">
        <f>SUM(H30:H36)</f>
        <v>2141.3309013719272</v>
      </c>
    </row>
    <row r="38" spans="1:8" x14ac:dyDescent="0.25">
      <c r="A38" s="5" t="s">
        <v>32</v>
      </c>
      <c r="B38" s="40">
        <v>1003</v>
      </c>
      <c r="C38" s="34">
        <v>1.0672897243746269</v>
      </c>
      <c r="D38" s="33">
        <f>B38*C38</f>
        <v>1070.4915935477507</v>
      </c>
      <c r="E38" s="34">
        <v>1.0672897243746269</v>
      </c>
      <c r="F38" s="33">
        <f>D38*E38</f>
        <v>1142.5246778229339</v>
      </c>
      <c r="G38" s="34">
        <v>1.0672897243746269</v>
      </c>
      <c r="H38" s="33">
        <f>F38*G38</f>
        <v>1219.4048484848486</v>
      </c>
    </row>
    <row r="39" spans="1:8" x14ac:dyDescent="0.25">
      <c r="A39" s="5" t="s">
        <v>33</v>
      </c>
      <c r="B39" s="40">
        <v>1324</v>
      </c>
      <c r="C39" s="34">
        <v>1029.5</v>
      </c>
      <c r="D39" s="33">
        <f>C39</f>
        <v>1029.5</v>
      </c>
      <c r="E39" s="34">
        <v>1029.5</v>
      </c>
      <c r="F39" s="33">
        <f>E39</f>
        <v>1029.5</v>
      </c>
      <c r="G39" s="34">
        <v>1029.5</v>
      </c>
      <c r="H39" s="33">
        <f>G39</f>
        <v>1029.5</v>
      </c>
    </row>
    <row r="40" spans="1:8" x14ac:dyDescent="0.25">
      <c r="A40" s="5" t="s">
        <v>34</v>
      </c>
      <c r="B40" s="40">
        <v>572</v>
      </c>
      <c r="C40" s="34">
        <v>0.33563527049539099</v>
      </c>
      <c r="D40" s="33">
        <f>C40*'Forecasted Income Statement'!D28</f>
        <v>-196.24570767870176</v>
      </c>
      <c r="E40" s="34">
        <v>0.33563527049539099</v>
      </c>
      <c r="F40" s="33">
        <f>E40*'Forecasted Income Statement'!F28</f>
        <v>-179.27110189194909</v>
      </c>
      <c r="G40" s="34">
        <v>0.33563527049539099</v>
      </c>
      <c r="H40" s="33">
        <f>G40*'Forecasted Income Statement'!H28</f>
        <v>-163.7647434621648</v>
      </c>
    </row>
    <row r="41" spans="1:8" x14ac:dyDescent="0.25">
      <c r="A41" s="5" t="s">
        <v>35</v>
      </c>
      <c r="B41" s="40">
        <v>655</v>
      </c>
      <c r="C41" s="34">
        <v>1.0262572194247304</v>
      </c>
      <c r="D41" s="33">
        <f>B41*C41</f>
        <v>672.19847872319838</v>
      </c>
      <c r="E41" s="34">
        <v>1.0262572194247304</v>
      </c>
      <c r="F41" s="33">
        <f>D41*E41</f>
        <v>689.84854167600338</v>
      </c>
      <c r="G41" s="34">
        <v>1.0262572194247304</v>
      </c>
      <c r="H41" s="33">
        <f>F41*G41</f>
        <v>707.96204620462049</v>
      </c>
    </row>
    <row r="42" spans="1:8" x14ac:dyDescent="0.25">
      <c r="A42" s="5" t="s">
        <v>36</v>
      </c>
      <c r="B42" s="40">
        <v>0</v>
      </c>
      <c r="C42" s="34">
        <v>0</v>
      </c>
      <c r="D42" s="33">
        <f>C42</f>
        <v>0</v>
      </c>
      <c r="E42" s="34"/>
      <c r="F42" s="33">
        <f>E42</f>
        <v>0</v>
      </c>
      <c r="G42" s="34"/>
      <c r="H42" s="33">
        <f>G42</f>
        <v>0</v>
      </c>
    </row>
    <row r="43" spans="1:8" ht="15.75" thickBot="1" x14ac:dyDescent="0.3">
      <c r="A43" s="5" t="s">
        <v>37</v>
      </c>
      <c r="B43" s="40">
        <v>-1092</v>
      </c>
      <c r="C43" s="34">
        <v>-1284.5</v>
      </c>
      <c r="D43" s="33">
        <f>C43</f>
        <v>-1284.5</v>
      </c>
      <c r="E43" s="34">
        <v>-1284.5</v>
      </c>
      <c r="F43" s="33">
        <f>E43</f>
        <v>-1284.5</v>
      </c>
      <c r="G43" s="34">
        <v>-1284.5</v>
      </c>
      <c r="H43" s="33">
        <f>G43</f>
        <v>-1284.5</v>
      </c>
    </row>
    <row r="44" spans="1:8" x14ac:dyDescent="0.25">
      <c r="A44" s="7" t="s">
        <v>38</v>
      </c>
      <c r="B44" s="32">
        <f>+B28+B29+B37+B38+B39+B40+B41+B42+B43</f>
        <v>6925</v>
      </c>
      <c r="C44" s="34"/>
      <c r="D44" s="32">
        <f>+D28+D29+D37+D38+D39+D40+D41+D42+D43</f>
        <v>6086.2165560053481</v>
      </c>
      <c r="E44" s="34"/>
      <c r="F44" s="32">
        <f>+F28+F29+F37+F38+F39+F40+F41+F42+F43</f>
        <v>5430.1874869868952</v>
      </c>
      <c r="G44" s="34"/>
      <c r="H44" s="32">
        <f>+H28+H29+H37+H38+H39+H40+H41+H42+H43</f>
        <v>5281.081920404873</v>
      </c>
    </row>
    <row r="45" spans="1:8" x14ac:dyDescent="0.25">
      <c r="A45" s="5" t="s">
        <v>39</v>
      </c>
      <c r="B45" s="40">
        <v>949</v>
      </c>
      <c r="C45" s="34">
        <v>1166</v>
      </c>
      <c r="D45" s="33">
        <f t="shared" ref="D45:F50" si="2">C45</f>
        <v>1166</v>
      </c>
      <c r="E45" s="34">
        <v>1166</v>
      </c>
      <c r="F45" s="33">
        <f t="shared" si="2"/>
        <v>1166</v>
      </c>
      <c r="G45" s="34">
        <v>1166</v>
      </c>
      <c r="H45" s="33">
        <f t="shared" ref="H45:H50" si="3">G45</f>
        <v>1166</v>
      </c>
    </row>
    <row r="46" spans="1:8" x14ac:dyDescent="0.25">
      <c r="A46" s="5" t="s">
        <v>32</v>
      </c>
      <c r="B46" s="40">
        <v>586</v>
      </c>
      <c r="C46" s="34">
        <v>1537.25</v>
      </c>
      <c r="D46" s="33">
        <f t="shared" si="2"/>
        <v>1537.25</v>
      </c>
      <c r="E46" s="34">
        <v>1537.25</v>
      </c>
      <c r="F46" s="33">
        <f t="shared" si="2"/>
        <v>1537.25</v>
      </c>
      <c r="G46" s="34">
        <v>1537.25</v>
      </c>
      <c r="H46" s="33">
        <f t="shared" si="3"/>
        <v>1537.25</v>
      </c>
    </row>
    <row r="47" spans="1:8" x14ac:dyDescent="0.25">
      <c r="A47" s="5" t="s">
        <v>34</v>
      </c>
      <c r="B47" s="40">
        <v>742</v>
      </c>
      <c r="C47" s="34">
        <v>789</v>
      </c>
      <c r="D47" s="33">
        <f t="shared" si="2"/>
        <v>789</v>
      </c>
      <c r="E47" s="34">
        <v>789</v>
      </c>
      <c r="F47" s="33">
        <f t="shared" si="2"/>
        <v>789</v>
      </c>
      <c r="G47" s="34">
        <v>789</v>
      </c>
      <c r="H47" s="33">
        <f t="shared" si="3"/>
        <v>789</v>
      </c>
    </row>
    <row r="48" spans="1:8" x14ac:dyDescent="0.25">
      <c r="A48" s="5" t="s">
        <v>40</v>
      </c>
      <c r="B48" s="40">
        <v>480</v>
      </c>
      <c r="C48" s="34">
        <v>549.5</v>
      </c>
      <c r="D48" s="33">
        <f t="shared" si="2"/>
        <v>549.5</v>
      </c>
      <c r="E48" s="34">
        <v>549.5</v>
      </c>
      <c r="F48" s="33">
        <f t="shared" si="2"/>
        <v>549.5</v>
      </c>
      <c r="G48" s="34">
        <v>549.5</v>
      </c>
      <c r="H48" s="33">
        <f t="shared" si="3"/>
        <v>549.5</v>
      </c>
    </row>
    <row r="49" spans="1:8" x14ac:dyDescent="0.25">
      <c r="A49" s="5" t="s">
        <v>41</v>
      </c>
      <c r="B49" s="40">
        <v>6550</v>
      </c>
      <c r="C49" s="34">
        <v>7085.25</v>
      </c>
      <c r="D49" s="33">
        <f t="shared" si="2"/>
        <v>7085.25</v>
      </c>
      <c r="E49" s="34">
        <v>7085.25</v>
      </c>
      <c r="F49" s="33">
        <f t="shared" si="2"/>
        <v>7085.25</v>
      </c>
      <c r="G49" s="34">
        <v>7085.25</v>
      </c>
      <c r="H49" s="33">
        <f t="shared" si="3"/>
        <v>7085.25</v>
      </c>
    </row>
    <row r="50" spans="1:8" ht="15.75" thickBot="1" x14ac:dyDescent="0.3">
      <c r="A50" s="5" t="s">
        <v>42</v>
      </c>
      <c r="B50" s="40">
        <v>53</v>
      </c>
      <c r="C50" s="34">
        <v>-1104.25</v>
      </c>
      <c r="D50" s="33">
        <f t="shared" si="2"/>
        <v>-1104.25</v>
      </c>
      <c r="E50" s="34">
        <v>-1104.25</v>
      </c>
      <c r="F50" s="33">
        <f t="shared" si="2"/>
        <v>-1104.25</v>
      </c>
      <c r="G50" s="34">
        <v>-1104.25</v>
      </c>
      <c r="H50" s="33">
        <f t="shared" si="3"/>
        <v>-1104.25</v>
      </c>
    </row>
    <row r="51" spans="1:8" ht="15.75" thickBot="1" x14ac:dyDescent="0.3">
      <c r="A51" s="7" t="s">
        <v>43</v>
      </c>
      <c r="B51" s="32">
        <f>SUM(B45:B50)</f>
        <v>9360</v>
      </c>
      <c r="C51" s="34"/>
      <c r="D51" s="32">
        <f>SUM(D45:D50)</f>
        <v>10022.75</v>
      </c>
      <c r="E51" s="34"/>
      <c r="F51" s="32">
        <f>SUM(F45:F50)</f>
        <v>10022.75</v>
      </c>
      <c r="G51" s="34"/>
      <c r="H51" s="32">
        <f>SUM(H45:H50)</f>
        <v>10022.75</v>
      </c>
    </row>
    <row r="52" spans="1:8" x14ac:dyDescent="0.25">
      <c r="A52" s="7" t="s">
        <v>44</v>
      </c>
      <c r="B52" s="32">
        <f>+B44+B51</f>
        <v>16285</v>
      </c>
      <c r="C52" s="34"/>
      <c r="D52" s="32">
        <f>+D44+D51</f>
        <v>16108.966556005347</v>
      </c>
      <c r="E52" s="34"/>
      <c r="F52" s="32">
        <f>+F44+F51</f>
        <v>15452.937486986895</v>
      </c>
      <c r="G52" s="34"/>
      <c r="H52" s="32">
        <f>+H44+H51</f>
        <v>15303.831920404873</v>
      </c>
    </row>
    <row r="53" spans="1:8" x14ac:dyDescent="0.25">
      <c r="A53" s="5" t="s">
        <v>45</v>
      </c>
      <c r="B53" s="40">
        <v>0</v>
      </c>
      <c r="C53" s="34"/>
      <c r="D53" s="33"/>
      <c r="E53" s="34"/>
      <c r="F53" s="33"/>
      <c r="G53" s="34"/>
      <c r="H53" s="33"/>
    </row>
    <row r="54" spans="1:8" x14ac:dyDescent="0.25">
      <c r="A54" s="5" t="s">
        <v>46</v>
      </c>
      <c r="B54" s="40">
        <v>221</v>
      </c>
      <c r="C54" s="34">
        <v>221</v>
      </c>
      <c r="D54" s="33">
        <f t="shared" ref="D54:F61" si="4">C54</f>
        <v>221</v>
      </c>
      <c r="E54" s="34">
        <v>221</v>
      </c>
      <c r="F54" s="33">
        <f t="shared" si="4"/>
        <v>221</v>
      </c>
      <c r="G54" s="34">
        <v>221</v>
      </c>
      <c r="H54" s="33">
        <f t="shared" ref="H54:H59" si="5">G54</f>
        <v>221</v>
      </c>
    </row>
    <row r="55" spans="1:8" x14ac:dyDescent="0.25">
      <c r="A55" s="5" t="s">
        <v>47</v>
      </c>
      <c r="B55" s="40">
        <v>1459</v>
      </c>
      <c r="C55" s="34">
        <v>1895.5</v>
      </c>
      <c r="D55" s="33">
        <f t="shared" si="4"/>
        <v>1895.5</v>
      </c>
      <c r="E55" s="34">
        <v>1895.5</v>
      </c>
      <c r="F55" s="33">
        <f t="shared" si="4"/>
        <v>1895.5</v>
      </c>
      <c r="G55" s="34">
        <v>1895.5</v>
      </c>
      <c r="H55" s="33">
        <f t="shared" si="5"/>
        <v>1895.5</v>
      </c>
    </row>
    <row r="56" spans="1:8" x14ac:dyDescent="0.25">
      <c r="A56" s="5" t="s">
        <v>48</v>
      </c>
      <c r="B56" s="40">
        <v>-2468</v>
      </c>
      <c r="C56" s="34">
        <v>-2559</v>
      </c>
      <c r="D56" s="33">
        <f t="shared" si="4"/>
        <v>-2559</v>
      </c>
      <c r="E56" s="34">
        <v>-2559</v>
      </c>
      <c r="F56" s="33">
        <f t="shared" si="4"/>
        <v>-2559</v>
      </c>
      <c r="G56" s="34">
        <v>-2559</v>
      </c>
      <c r="H56" s="33">
        <f t="shared" si="5"/>
        <v>-2559</v>
      </c>
    </row>
    <row r="57" spans="1:8" x14ac:dyDescent="0.25">
      <c r="A57" s="5" t="s">
        <v>49</v>
      </c>
      <c r="B57" s="40">
        <v>31613</v>
      </c>
      <c r="C57" s="34">
        <v>32459.75</v>
      </c>
      <c r="D57" s="33">
        <f t="shared" si="4"/>
        <v>32459.75</v>
      </c>
      <c r="E57" s="34">
        <v>32459.75</v>
      </c>
      <c r="F57" s="33">
        <f t="shared" si="4"/>
        <v>32459.75</v>
      </c>
      <c r="G57" s="34">
        <v>32459.75</v>
      </c>
      <c r="H57" s="33">
        <f t="shared" si="5"/>
        <v>32459.75</v>
      </c>
    </row>
    <row r="58" spans="1:8" x14ac:dyDescent="0.25">
      <c r="A58" s="5" t="s">
        <v>50</v>
      </c>
      <c r="B58" s="40">
        <v>-16559</v>
      </c>
      <c r="C58" s="34">
        <v>-17543.5</v>
      </c>
      <c r="D58" s="33">
        <f t="shared" si="4"/>
        <v>-17543.5</v>
      </c>
      <c r="E58" s="34">
        <v>-17543.5</v>
      </c>
      <c r="F58" s="33">
        <f t="shared" si="4"/>
        <v>-17543.5</v>
      </c>
      <c r="G58" s="34">
        <v>-17543.5</v>
      </c>
      <c r="H58" s="33">
        <f t="shared" si="5"/>
        <v>-17543.5</v>
      </c>
    </row>
    <row r="59" spans="1:8" ht="15.75" thickBot="1" x14ac:dyDescent="0.3">
      <c r="A59" s="5" t="s">
        <v>51</v>
      </c>
      <c r="B59" s="40">
        <v>-977</v>
      </c>
      <c r="C59" s="34">
        <v>711.25</v>
      </c>
      <c r="D59" s="33">
        <f t="shared" si="4"/>
        <v>711.25</v>
      </c>
      <c r="E59" s="34">
        <v>711.25</v>
      </c>
      <c r="F59" s="33">
        <f t="shared" si="4"/>
        <v>711.25</v>
      </c>
      <c r="G59" s="34">
        <v>711.25</v>
      </c>
      <c r="H59" s="33">
        <f t="shared" si="5"/>
        <v>711.25</v>
      </c>
    </row>
    <row r="60" spans="1:8" x14ac:dyDescent="0.25">
      <c r="A60" s="7" t="s">
        <v>52</v>
      </c>
      <c r="B60" s="32">
        <f>SUM(B53:B59)</f>
        <v>13289</v>
      </c>
      <c r="C60" s="34"/>
      <c r="D60" s="32">
        <f>SUM(D53:D59)</f>
        <v>15185</v>
      </c>
      <c r="E60" s="34"/>
      <c r="F60" s="32">
        <f>SUM(F53:F59)</f>
        <v>15185</v>
      </c>
      <c r="G60" s="34"/>
      <c r="H60" s="32">
        <f>SUM(H53:H59)</f>
        <v>15185</v>
      </c>
    </row>
    <row r="61" spans="1:8" ht="15.75" thickBot="1" x14ac:dyDescent="0.3">
      <c r="A61" s="5" t="s">
        <v>53</v>
      </c>
      <c r="B61" s="40">
        <v>158</v>
      </c>
      <c r="C61" s="34">
        <v>96.5</v>
      </c>
      <c r="D61" s="33">
        <f t="shared" si="4"/>
        <v>96.5</v>
      </c>
      <c r="E61" s="34">
        <v>96.5</v>
      </c>
      <c r="F61" s="33">
        <f t="shared" si="4"/>
        <v>96.5</v>
      </c>
      <c r="G61" s="34">
        <v>96.5</v>
      </c>
      <c r="H61" s="33">
        <f>G61</f>
        <v>96.5</v>
      </c>
    </row>
    <row r="62" spans="1:8" ht="15.75" thickBot="1" x14ac:dyDescent="0.3">
      <c r="A62" s="7" t="s">
        <v>54</v>
      </c>
      <c r="B62" s="32">
        <f>SUM(B60:B61)</f>
        <v>13447</v>
      </c>
      <c r="C62" s="34"/>
      <c r="D62" s="32">
        <f>SUM(D60:D61)</f>
        <v>15281.5</v>
      </c>
      <c r="E62" s="34"/>
      <c r="F62" s="32">
        <f>SUM(F60:F61)</f>
        <v>15281.5</v>
      </c>
      <c r="G62" s="34"/>
      <c r="H62" s="32">
        <f>SUM(H60:H61)</f>
        <v>15281.5</v>
      </c>
    </row>
    <row r="63" spans="1:8" ht="15.75" thickBot="1" x14ac:dyDescent="0.3">
      <c r="A63" s="7" t="s">
        <v>85</v>
      </c>
      <c r="B63" s="32"/>
      <c r="C63" s="34"/>
      <c r="D63" s="32">
        <f>D26-D52-D62</f>
        <v>1314.7430453056331</v>
      </c>
      <c r="E63" s="34"/>
      <c r="F63" s="32">
        <f>F26-F52-F62</f>
        <v>1304.5131651797965</v>
      </c>
      <c r="G63" s="34"/>
      <c r="H63" s="32">
        <f>H26-H52-H62</f>
        <v>844.98898198904681</v>
      </c>
    </row>
    <row r="64" spans="1:8" x14ac:dyDescent="0.25">
      <c r="A64" s="7" t="s">
        <v>55</v>
      </c>
      <c r="B64" s="32">
        <f>+B52+B62</f>
        <v>29732</v>
      </c>
      <c r="C64" s="34"/>
      <c r="D64" s="32">
        <f>+D52+D62+D63</f>
        <v>32705.20960131098</v>
      </c>
      <c r="E64" s="34"/>
      <c r="F64" s="32">
        <f>+F52+F62+F63</f>
        <v>32038.950652166692</v>
      </c>
      <c r="G64" s="34"/>
      <c r="H64" s="32">
        <f>+H52+H62+H63</f>
        <v>31430.32090239392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19" sqref="A19"/>
    </sheetView>
  </sheetViews>
  <sheetFormatPr defaultRowHeight="15" x14ac:dyDescent="0.25"/>
  <cols>
    <col min="1" max="1" width="86.140625" bestFit="1" customWidth="1"/>
    <col min="2" max="2" width="13.7109375" bestFit="1" customWidth="1"/>
    <col min="3" max="3" width="11.5703125" bestFit="1" customWidth="1"/>
    <col min="4" max="4" width="11" bestFit="1" customWidth="1"/>
    <col min="5" max="5" width="11.5703125" bestFit="1" customWidth="1"/>
    <col min="6" max="6" width="11" bestFit="1" customWidth="1"/>
    <col min="7" max="7" width="11.5703125" bestFit="1" customWidth="1"/>
    <col min="8" max="8" width="11" bestFit="1" customWidth="1"/>
  </cols>
  <sheetData>
    <row r="1" spans="1:8" ht="15.75" x14ac:dyDescent="0.25">
      <c r="A1" s="1" t="s">
        <v>86</v>
      </c>
    </row>
    <row r="2" spans="1:8" x14ac:dyDescent="0.25">
      <c r="A2" s="2" t="s">
        <v>1</v>
      </c>
    </row>
    <row r="3" spans="1:8" x14ac:dyDescent="0.25">
      <c r="A3" s="3"/>
    </row>
    <row r="4" spans="1:8" x14ac:dyDescent="0.25">
      <c r="A4" s="13" t="s">
        <v>57</v>
      </c>
      <c r="B4" s="14">
        <v>42369</v>
      </c>
      <c r="C4" t="s">
        <v>83</v>
      </c>
      <c r="D4" s="25">
        <v>42735</v>
      </c>
      <c r="E4" t="s">
        <v>83</v>
      </c>
      <c r="F4" s="25">
        <v>43100</v>
      </c>
      <c r="G4" t="s">
        <v>83</v>
      </c>
      <c r="H4" s="25">
        <v>43465</v>
      </c>
    </row>
    <row r="5" spans="1:8" x14ac:dyDescent="0.25">
      <c r="A5" s="5" t="s">
        <v>80</v>
      </c>
      <c r="B5" s="6">
        <f>'Adjusted Income  Statement'!C30</f>
        <v>957</v>
      </c>
      <c r="C5" t="s">
        <v>115</v>
      </c>
      <c r="D5">
        <f>'Forecasted Income Statement'!D30</f>
        <v>1022.5483664215119</v>
      </c>
      <c r="E5" t="s">
        <v>115</v>
      </c>
      <c r="F5">
        <f>'Forecasted Income Statement'!F30</f>
        <v>904.54106211179715</v>
      </c>
      <c r="G5" t="s">
        <v>115</v>
      </c>
      <c r="H5">
        <f>'Forecasted Income Statement'!H30</f>
        <v>796.74100001037755</v>
      </c>
    </row>
    <row r="6" spans="1:8" x14ac:dyDescent="0.25">
      <c r="A6" s="5" t="s">
        <v>81</v>
      </c>
      <c r="B6" s="6">
        <f>'Adjusted Income  Statement'!C31</f>
        <v>-66</v>
      </c>
      <c r="C6" t="s">
        <v>115</v>
      </c>
      <c r="D6">
        <f>'Forecasted Income Statement'!D31</f>
        <v>-162.25</v>
      </c>
      <c r="E6" t="s">
        <v>115</v>
      </c>
      <c r="F6">
        <f>'Forecasted Income Statement'!F31</f>
        <v>-162.25</v>
      </c>
      <c r="G6" t="s">
        <v>115</v>
      </c>
      <c r="H6">
        <f>'Forecasted Income Statement'!H31</f>
        <v>-162.25</v>
      </c>
    </row>
    <row r="7" spans="1:8" x14ac:dyDescent="0.25">
      <c r="A7" s="5" t="s">
        <v>87</v>
      </c>
      <c r="B7" s="6">
        <v>376</v>
      </c>
      <c r="C7">
        <v>571.75</v>
      </c>
      <c r="D7">
        <f>C7</f>
        <v>571.75</v>
      </c>
      <c r="E7">
        <v>571.75</v>
      </c>
      <c r="F7">
        <f>E7</f>
        <v>571.75</v>
      </c>
      <c r="G7">
        <v>571.75</v>
      </c>
      <c r="H7">
        <f t="shared" ref="H7:H13" si="0">G7</f>
        <v>571.75</v>
      </c>
    </row>
    <row r="8" spans="1:8" x14ac:dyDescent="0.25">
      <c r="A8" s="5" t="s">
        <v>10</v>
      </c>
      <c r="B8" s="6">
        <v>-347</v>
      </c>
      <c r="C8">
        <v>-652.5</v>
      </c>
      <c r="D8">
        <f t="shared" ref="D8:F12" si="1">C8</f>
        <v>-652.5</v>
      </c>
      <c r="E8">
        <v>-652.5</v>
      </c>
      <c r="F8">
        <f t="shared" si="1"/>
        <v>-652.5</v>
      </c>
      <c r="G8">
        <v>-652.5</v>
      </c>
      <c r="H8">
        <f t="shared" si="0"/>
        <v>-652.5</v>
      </c>
    </row>
    <row r="9" spans="1:8" x14ac:dyDescent="0.25">
      <c r="A9" s="5" t="s">
        <v>88</v>
      </c>
      <c r="B9" s="6">
        <v>235</v>
      </c>
      <c r="C9">
        <v>198.25</v>
      </c>
      <c r="D9">
        <f t="shared" si="1"/>
        <v>198.25</v>
      </c>
      <c r="E9">
        <v>198.25</v>
      </c>
      <c r="F9">
        <f t="shared" si="1"/>
        <v>198.25</v>
      </c>
      <c r="G9">
        <v>198.25</v>
      </c>
      <c r="H9">
        <f t="shared" si="0"/>
        <v>198.25</v>
      </c>
    </row>
    <row r="10" spans="1:8" x14ac:dyDescent="0.25">
      <c r="A10" s="5" t="s">
        <v>89</v>
      </c>
      <c r="B10" s="6">
        <v>192</v>
      </c>
      <c r="C10">
        <v>703.25</v>
      </c>
      <c r="D10">
        <f t="shared" si="1"/>
        <v>703.25</v>
      </c>
      <c r="E10">
        <v>703.25</v>
      </c>
      <c r="F10">
        <f t="shared" si="1"/>
        <v>703.25</v>
      </c>
      <c r="G10">
        <v>703.25</v>
      </c>
      <c r="H10">
        <f t="shared" si="0"/>
        <v>703.25</v>
      </c>
    </row>
    <row r="11" spans="1:8" x14ac:dyDescent="0.25">
      <c r="A11" s="5" t="s">
        <v>90</v>
      </c>
      <c r="B11" s="6">
        <v>245</v>
      </c>
      <c r="C11">
        <v>450.5</v>
      </c>
      <c r="D11">
        <f t="shared" si="1"/>
        <v>450.5</v>
      </c>
      <c r="E11">
        <v>450.5</v>
      </c>
      <c r="F11">
        <f t="shared" si="1"/>
        <v>450.5</v>
      </c>
      <c r="G11">
        <v>450.5</v>
      </c>
      <c r="H11">
        <f t="shared" si="0"/>
        <v>450.5</v>
      </c>
    </row>
    <row r="12" spans="1:8" x14ac:dyDescent="0.25">
      <c r="A12" s="5" t="s">
        <v>91</v>
      </c>
      <c r="B12" s="6">
        <v>0</v>
      </c>
      <c r="C12">
        <v>892.5</v>
      </c>
      <c r="D12">
        <f t="shared" si="1"/>
        <v>892.5</v>
      </c>
      <c r="E12">
        <v>892.5</v>
      </c>
      <c r="F12">
        <f t="shared" si="1"/>
        <v>892.5</v>
      </c>
      <c r="G12">
        <v>892.5</v>
      </c>
      <c r="H12">
        <f t="shared" si="0"/>
        <v>892.5</v>
      </c>
    </row>
    <row r="13" spans="1:8" x14ac:dyDescent="0.25">
      <c r="A13" s="5" t="s">
        <v>92</v>
      </c>
      <c r="B13" s="6">
        <v>594</v>
      </c>
      <c r="C13">
        <v>-4.25</v>
      </c>
      <c r="D13">
        <f>C13</f>
        <v>-4.25</v>
      </c>
      <c r="E13">
        <v>-4.25</v>
      </c>
      <c r="F13">
        <f>E13</f>
        <v>-4.25</v>
      </c>
      <c r="G13">
        <v>-4.25</v>
      </c>
      <c r="H13">
        <f t="shared" si="0"/>
        <v>-4.25</v>
      </c>
    </row>
    <row r="14" spans="1:8" x14ac:dyDescent="0.25">
      <c r="A14" s="5" t="s">
        <v>8</v>
      </c>
      <c r="B14" s="6">
        <v>-942</v>
      </c>
      <c r="C14">
        <v>-0.99056710951953097</v>
      </c>
      <c r="D14">
        <f>C14*D$20</f>
        <v>313.01920660817177</v>
      </c>
      <c r="E14">
        <v>-0.99056710951953097</v>
      </c>
      <c r="F14">
        <f>E14*F$20</f>
        <v>313.01920660817177</v>
      </c>
      <c r="G14">
        <v>-0.99056710951953097</v>
      </c>
      <c r="H14">
        <f t="shared" ref="H14:H19" si="2">G14*H$20</f>
        <v>313.01920660817177</v>
      </c>
    </row>
    <row r="15" spans="1:8" x14ac:dyDescent="0.25">
      <c r="A15" s="5" t="s">
        <v>9</v>
      </c>
      <c r="B15" s="6">
        <v>97</v>
      </c>
      <c r="C15">
        <v>-0.35669134200754365</v>
      </c>
      <c r="D15">
        <f t="shared" ref="D15:F19" si="3">C15*D$20</f>
        <v>112.7144640743838</v>
      </c>
      <c r="E15">
        <v>-0.35669134200754365</v>
      </c>
      <c r="F15">
        <f t="shared" si="3"/>
        <v>112.7144640743838</v>
      </c>
      <c r="G15">
        <v>-0.35669134200754365</v>
      </c>
      <c r="H15">
        <f t="shared" si="2"/>
        <v>112.7144640743838</v>
      </c>
    </row>
    <row r="16" spans="1:8" x14ac:dyDescent="0.25">
      <c r="A16" s="5" t="s">
        <v>23</v>
      </c>
      <c r="B16" s="6">
        <v>-919</v>
      </c>
      <c r="C16">
        <v>0.79161127591637315</v>
      </c>
      <c r="D16">
        <f t="shared" si="3"/>
        <v>-250.14916318957393</v>
      </c>
      <c r="E16">
        <v>0.79161127591637315</v>
      </c>
      <c r="F16">
        <f t="shared" si="3"/>
        <v>-250.14916318957393</v>
      </c>
      <c r="G16">
        <v>0.79161127591637315</v>
      </c>
      <c r="H16">
        <f t="shared" si="2"/>
        <v>-250.14916318957393</v>
      </c>
    </row>
    <row r="17" spans="1:8" x14ac:dyDescent="0.25">
      <c r="A17" s="5" t="s">
        <v>32</v>
      </c>
      <c r="B17" s="6">
        <v>218</v>
      </c>
      <c r="C17">
        <v>1.8361009763000158</v>
      </c>
      <c r="D17">
        <f t="shared" si="3"/>
        <v>-580.20790851080494</v>
      </c>
      <c r="E17">
        <v>1.8361009763000158</v>
      </c>
      <c r="F17">
        <f t="shared" si="3"/>
        <v>-580.20790851080494</v>
      </c>
      <c r="G17">
        <v>1.8361009763000158</v>
      </c>
      <c r="H17">
        <f t="shared" si="2"/>
        <v>-580.20790851080494</v>
      </c>
    </row>
    <row r="18" spans="1:8" x14ac:dyDescent="0.25">
      <c r="A18" s="5" t="s">
        <v>34</v>
      </c>
      <c r="B18" s="6">
        <v>47</v>
      </c>
      <c r="C18">
        <v>0.38343756576883758</v>
      </c>
      <c r="D18">
        <f t="shared" si="3"/>
        <v>-121.16627078295268</v>
      </c>
      <c r="E18">
        <v>0.38343756576883758</v>
      </c>
      <c r="F18">
        <f t="shared" si="3"/>
        <v>-121.16627078295268</v>
      </c>
      <c r="G18">
        <v>0.38343756576883758</v>
      </c>
      <c r="H18">
        <f t="shared" si="2"/>
        <v>-121.16627078295268</v>
      </c>
    </row>
    <row r="19" spans="1:8" ht="15.75" thickBot="1" x14ac:dyDescent="0.3">
      <c r="A19" s="5" t="s">
        <v>30</v>
      </c>
      <c r="B19" s="6">
        <v>471</v>
      </c>
      <c r="C19">
        <v>-0.66389136645815205</v>
      </c>
      <c r="D19">
        <f t="shared" si="3"/>
        <v>209.78967180077606</v>
      </c>
      <c r="E19">
        <v>-0.66389136645815205</v>
      </c>
      <c r="F19">
        <f t="shared" si="3"/>
        <v>209.78967180077606</v>
      </c>
      <c r="G19">
        <v>-0.66389136645815205</v>
      </c>
      <c r="H19">
        <f t="shared" si="2"/>
        <v>209.78967180077606</v>
      </c>
    </row>
    <row r="20" spans="1:8" ht="15.75" thickBot="1" x14ac:dyDescent="0.3">
      <c r="A20" s="7" t="s">
        <v>93</v>
      </c>
      <c r="B20" s="8">
        <f>SUM(B14:B19)</f>
        <v>-1028</v>
      </c>
      <c r="C20">
        <v>-316</v>
      </c>
      <c r="D20">
        <f>C20</f>
        <v>-316</v>
      </c>
      <c r="E20">
        <v>-316</v>
      </c>
      <c r="F20">
        <f>E20</f>
        <v>-316</v>
      </c>
      <c r="G20">
        <v>-316</v>
      </c>
      <c r="H20">
        <f>G20</f>
        <v>-316</v>
      </c>
    </row>
    <row r="21" spans="1:8" ht="15.75" thickBot="1" x14ac:dyDescent="0.3">
      <c r="A21" s="7" t="s">
        <v>94</v>
      </c>
      <c r="B21" s="8">
        <f>+B6+B7+B8+B9+B10+B11+B12+B13+B20</f>
        <v>201</v>
      </c>
      <c r="D21" s="8">
        <f>+D6+D7+D8+D9+D10+D11+D12+D13+D20</f>
        <v>1681.25</v>
      </c>
      <c r="F21" s="8">
        <f>+F6+F7+F8+F9+F10+F11+F12+F13+F20</f>
        <v>1681.25</v>
      </c>
      <c r="H21" s="8">
        <f>+H6+H7+H8+H9+H10+H11+H12+H13+H20</f>
        <v>1681.25</v>
      </c>
    </row>
    <row r="22" spans="1:8" x14ac:dyDescent="0.25">
      <c r="A22" s="7" t="s">
        <v>95</v>
      </c>
      <c r="B22" s="8">
        <f>+B5+B21</f>
        <v>1158</v>
      </c>
      <c r="D22" s="8">
        <f>+D5+D21</f>
        <v>2703.7983664215117</v>
      </c>
      <c r="F22" s="8">
        <f>+F5+F21</f>
        <v>2585.7910621117971</v>
      </c>
      <c r="H22" s="8">
        <f>+H5+H21</f>
        <v>2477.9910000103773</v>
      </c>
    </row>
    <row r="23" spans="1:8" x14ac:dyDescent="0.25">
      <c r="A23" s="5" t="s">
        <v>96</v>
      </c>
      <c r="B23" s="6">
        <v>2794</v>
      </c>
      <c r="C23">
        <v>-0.57743832252766292</v>
      </c>
      <c r="D23">
        <f>C23*D$28</f>
        <v>1105.072589737315</v>
      </c>
      <c r="E23">
        <v>-0.57743832252766292</v>
      </c>
      <c r="F23">
        <f>E23*F$28</f>
        <v>1105.072589737315</v>
      </c>
      <c r="G23">
        <v>-0.57743832252766292</v>
      </c>
      <c r="H23">
        <f>G23*H$28</f>
        <v>1105.072589737315</v>
      </c>
    </row>
    <row r="24" spans="1:8" x14ac:dyDescent="0.25">
      <c r="A24" s="5" t="s">
        <v>97</v>
      </c>
      <c r="B24" s="6">
        <v>-3143</v>
      </c>
      <c r="C24">
        <v>0.27060907027328251</v>
      </c>
      <c r="D24">
        <f t="shared" ref="D24:F27" si="4">C24*D$28</f>
        <v>-517.87810823549444</v>
      </c>
      <c r="E24">
        <v>0.27060907027328251</v>
      </c>
      <c r="F24">
        <f t="shared" si="4"/>
        <v>-517.87810823549444</v>
      </c>
      <c r="G24">
        <v>0.27060907027328251</v>
      </c>
      <c r="H24">
        <f>G24*H$28</f>
        <v>-517.87810823549444</v>
      </c>
    </row>
    <row r="25" spans="1:8" x14ac:dyDescent="0.25">
      <c r="A25" s="5" t="s">
        <v>98</v>
      </c>
      <c r="B25" s="6">
        <v>-820</v>
      </c>
      <c r="C25">
        <v>0.27733416501727626</v>
      </c>
      <c r="D25">
        <f t="shared" si="4"/>
        <v>-530.74825830181248</v>
      </c>
      <c r="E25">
        <v>0.27733416501727626</v>
      </c>
      <c r="F25">
        <f t="shared" si="4"/>
        <v>-530.74825830181248</v>
      </c>
      <c r="G25">
        <v>0.27733416501727626</v>
      </c>
      <c r="H25">
        <f>G25*H$28</f>
        <v>-530.74825830181248</v>
      </c>
    </row>
    <row r="26" spans="1:8" x14ac:dyDescent="0.25">
      <c r="A26" s="5" t="s">
        <v>99</v>
      </c>
      <c r="B26" s="6">
        <v>708</v>
      </c>
      <c r="C26">
        <v>0.61799158160930423</v>
      </c>
      <c r="D26">
        <f t="shared" si="4"/>
        <v>-1182.6813893048059</v>
      </c>
      <c r="E26">
        <v>0.61799158160930423</v>
      </c>
      <c r="F26">
        <f t="shared" si="4"/>
        <v>-1182.6813893048059</v>
      </c>
      <c r="G26">
        <v>0.61799158160930423</v>
      </c>
      <c r="H26">
        <f>G26*H$28</f>
        <v>-1182.6813893048059</v>
      </c>
    </row>
    <row r="27" spans="1:8" ht="15.75" thickBot="1" x14ac:dyDescent="0.3">
      <c r="A27" s="5" t="s">
        <v>100</v>
      </c>
      <c r="B27" s="6">
        <v>-1111</v>
      </c>
      <c r="C27">
        <v>0.4115035056277998</v>
      </c>
      <c r="D27">
        <f t="shared" si="4"/>
        <v>-787.51483389520183</v>
      </c>
      <c r="E27">
        <v>0.4115035056277998</v>
      </c>
      <c r="F27">
        <f t="shared" si="4"/>
        <v>-787.51483389520183</v>
      </c>
      <c r="G27">
        <v>0.4115035056277998</v>
      </c>
      <c r="H27">
        <f>G27*H$28</f>
        <v>-787.51483389520183</v>
      </c>
    </row>
    <row r="28" spans="1:8" x14ac:dyDescent="0.25">
      <c r="A28" s="7" t="s">
        <v>101</v>
      </c>
      <c r="B28" s="8">
        <f>SUM(B23:B27)</f>
        <v>-1572</v>
      </c>
      <c r="C28">
        <v>-1913.75</v>
      </c>
      <c r="D28">
        <f>C28</f>
        <v>-1913.75</v>
      </c>
      <c r="E28">
        <v>-1913.75</v>
      </c>
      <c r="F28">
        <f>E28</f>
        <v>-1913.75</v>
      </c>
      <c r="G28">
        <v>-1913.75</v>
      </c>
      <c r="H28">
        <f>G28</f>
        <v>-1913.75</v>
      </c>
    </row>
    <row r="29" spans="1:8" x14ac:dyDescent="0.25">
      <c r="A29" s="5" t="s">
        <v>102</v>
      </c>
      <c r="B29" s="6">
        <v>-449</v>
      </c>
      <c r="C29">
        <v>-4.070876725596774E-2</v>
      </c>
      <c r="D29">
        <f>C29*D$36</f>
        <v>113.87259920675577</v>
      </c>
      <c r="E29">
        <v>-4.070876725596774E-2</v>
      </c>
      <c r="F29">
        <f>E29*F$36</f>
        <v>113.87259920675577</v>
      </c>
      <c r="G29">
        <v>-4.070876725596774E-2</v>
      </c>
      <c r="H29">
        <f t="shared" ref="H29:H35" si="5">G29*H$36</f>
        <v>113.87259920675577</v>
      </c>
    </row>
    <row r="30" spans="1:8" x14ac:dyDescent="0.25">
      <c r="A30" s="5" t="s">
        <v>103</v>
      </c>
      <c r="B30" s="6">
        <v>1268</v>
      </c>
      <c r="C30">
        <v>-0.55565597092590246</v>
      </c>
      <c r="D30">
        <f t="shared" ref="D30:F35" si="6">C30*D$36</f>
        <v>1554.3086646724807</v>
      </c>
      <c r="E30">
        <v>-0.55565597092590246</v>
      </c>
      <c r="F30">
        <f t="shared" si="6"/>
        <v>1554.3086646724807</v>
      </c>
      <c r="G30">
        <v>-0.55565597092590246</v>
      </c>
      <c r="H30">
        <f t="shared" si="5"/>
        <v>1554.3086646724807</v>
      </c>
    </row>
    <row r="31" spans="1:8" x14ac:dyDescent="0.25">
      <c r="A31" s="5" t="s">
        <v>104</v>
      </c>
      <c r="B31" s="6">
        <v>-1957</v>
      </c>
      <c r="C31">
        <v>0.47672068352294272</v>
      </c>
      <c r="D31">
        <f t="shared" si="6"/>
        <v>-1333.5069319845516</v>
      </c>
      <c r="E31">
        <v>0.47672068352294272</v>
      </c>
      <c r="F31">
        <f t="shared" si="6"/>
        <v>-1333.5069319845516</v>
      </c>
      <c r="G31">
        <v>0.47672068352294272</v>
      </c>
      <c r="H31">
        <f t="shared" si="5"/>
        <v>-1333.5069319845516</v>
      </c>
    </row>
    <row r="32" spans="1:8" x14ac:dyDescent="0.25">
      <c r="A32" s="5" t="s">
        <v>105</v>
      </c>
      <c r="B32" s="6">
        <v>-2</v>
      </c>
      <c r="C32">
        <v>-1.5419272536041004E-2</v>
      </c>
      <c r="D32">
        <f t="shared" si="6"/>
        <v>43.131560101440698</v>
      </c>
      <c r="E32">
        <v>-1.5419272536041004E-2</v>
      </c>
      <c r="F32">
        <f t="shared" si="6"/>
        <v>43.131560101440698</v>
      </c>
      <c r="G32">
        <v>-1.5419272536041004E-2</v>
      </c>
      <c r="H32">
        <f t="shared" si="5"/>
        <v>43.131560101440698</v>
      </c>
    </row>
    <row r="33" spans="1:8" x14ac:dyDescent="0.25">
      <c r="A33" s="5" t="s">
        <v>106</v>
      </c>
      <c r="B33" s="6">
        <v>266</v>
      </c>
      <c r="C33">
        <v>-0.20812540965773077</v>
      </c>
      <c r="D33">
        <f t="shared" si="6"/>
        <v>582.1788021650874</v>
      </c>
      <c r="E33">
        <v>-0.20812540965773077</v>
      </c>
      <c r="F33">
        <f t="shared" si="6"/>
        <v>582.1788021650874</v>
      </c>
      <c r="G33">
        <v>-0.20812540965773077</v>
      </c>
      <c r="H33">
        <f t="shared" si="5"/>
        <v>582.1788021650874</v>
      </c>
    </row>
    <row r="34" spans="1:8" x14ac:dyDescent="0.25">
      <c r="A34" s="5" t="s">
        <v>107</v>
      </c>
      <c r="B34" s="6">
        <v>0</v>
      </c>
      <c r="C34">
        <v>0.2400029583088068</v>
      </c>
      <c r="D34">
        <f t="shared" si="6"/>
        <v>-671.34827512930985</v>
      </c>
      <c r="E34">
        <v>0.2400029583088068</v>
      </c>
      <c r="F34">
        <f t="shared" si="6"/>
        <v>-671.34827512930985</v>
      </c>
      <c r="G34">
        <v>0.2400029583088068</v>
      </c>
      <c r="H34">
        <f t="shared" si="5"/>
        <v>-671.34827512930985</v>
      </c>
    </row>
    <row r="35" spans="1:8" ht="15.75" thickBot="1" x14ac:dyDescent="0.3">
      <c r="A35" s="5" t="s">
        <v>108</v>
      </c>
      <c r="B35" s="6">
        <v>-2477</v>
      </c>
      <c r="C35">
        <v>1.1031857785438925</v>
      </c>
      <c r="D35">
        <f t="shared" si="6"/>
        <v>-3085.8864190319036</v>
      </c>
      <c r="E35">
        <v>1.1031857785438925</v>
      </c>
      <c r="F35">
        <f t="shared" si="6"/>
        <v>-3085.8864190319036</v>
      </c>
      <c r="G35">
        <v>1.1031857785438925</v>
      </c>
      <c r="H35">
        <f t="shared" si="5"/>
        <v>-3085.8864190319036</v>
      </c>
    </row>
    <row r="36" spans="1:8" x14ac:dyDescent="0.25">
      <c r="A36" s="7" t="s">
        <v>109</v>
      </c>
      <c r="B36" s="8">
        <f>SUM(B29:B35)</f>
        <v>-3351</v>
      </c>
      <c r="C36">
        <v>-2797.25</v>
      </c>
      <c r="D36">
        <f>C36</f>
        <v>-2797.25</v>
      </c>
      <c r="E36">
        <v>-2797.25</v>
      </c>
      <c r="F36">
        <f>E36</f>
        <v>-2797.25</v>
      </c>
      <c r="G36">
        <v>-2797.25</v>
      </c>
      <c r="H36">
        <f>G36</f>
        <v>-2797.25</v>
      </c>
    </row>
    <row r="37" spans="1:8" ht="15.75" thickBot="1" x14ac:dyDescent="0.3">
      <c r="A37" s="5" t="s">
        <v>110</v>
      </c>
      <c r="B37" s="6">
        <v>-95</v>
      </c>
      <c r="C37">
        <v>-3.25</v>
      </c>
      <c r="D37">
        <f>C37</f>
        <v>-3.25</v>
      </c>
      <c r="E37">
        <v>-3.25</v>
      </c>
      <c r="F37">
        <f>E37</f>
        <v>-3.25</v>
      </c>
      <c r="G37">
        <v>-3.25</v>
      </c>
      <c r="H37">
        <f>G37</f>
        <v>-3.25</v>
      </c>
    </row>
    <row r="38" spans="1:8" x14ac:dyDescent="0.25">
      <c r="A38" s="7" t="s">
        <v>111</v>
      </c>
      <c r="B38" s="8">
        <f>+B22+B28+B36+B37</f>
        <v>-3860</v>
      </c>
      <c r="D38" s="8">
        <f>+D22+D28+D36+D37</f>
        <v>-2010.4516335784883</v>
      </c>
      <c r="F38" s="8">
        <f>+F22+F28+F36+F37</f>
        <v>-2128.4589378882029</v>
      </c>
      <c r="H38" s="8">
        <f>+H22+H28+H36+H37</f>
        <v>-2236.2589999896227</v>
      </c>
    </row>
    <row r="39" spans="1:8" x14ac:dyDescent="0.25">
      <c r="A39" s="5" t="s">
        <v>112</v>
      </c>
      <c r="B39" s="6">
        <f>'Adjusted Balance Sheet'!D5</f>
        <v>5571</v>
      </c>
      <c r="D39" s="38">
        <f>'Forecasted Balance Sheet'!B5</f>
        <v>2385</v>
      </c>
      <c r="F39" s="38">
        <f>'Forecasted Balance Sheet'!D5</f>
        <v>3115.6167449260465</v>
      </c>
      <c r="H39" s="38">
        <f>'Forecasted Balance Sheet'!F5</f>
        <v>2846.1261830518874</v>
      </c>
    </row>
    <row r="40" spans="1:8" ht="15.75" thickBot="1" x14ac:dyDescent="0.3">
      <c r="A40" s="5" t="s">
        <v>114</v>
      </c>
      <c r="B40" s="6">
        <v>674</v>
      </c>
      <c r="D40" s="38">
        <f>'Forecasted Balance Sheet'!D5-'Forecasted Cash Flow Statement'!D38-'Forecasted Cash Flow Statement'!D39</f>
        <v>2741.0683785045348</v>
      </c>
      <c r="F40" s="38">
        <f>'Forecasted Balance Sheet'!F5-'Forecasted Cash Flow Statement'!F38-'Forecasted Cash Flow Statement'!F39</f>
        <v>1858.9683760140433</v>
      </c>
      <c r="H40" s="38">
        <f>'Forecasted Balance Sheet'!H5-'Forecasted Cash Flow Statement'!H38-'Forecasted Cash Flow Statement'!H39</f>
        <v>1990.0784819639325</v>
      </c>
    </row>
    <row r="41" spans="1:8" x14ac:dyDescent="0.25">
      <c r="A41" s="7" t="s">
        <v>113</v>
      </c>
      <c r="B41" s="8">
        <f>SUM(B38:B40)</f>
        <v>2385</v>
      </c>
      <c r="D41" s="38">
        <f>SUM(D38:D40)</f>
        <v>3115.6167449260465</v>
      </c>
      <c r="F41" s="38">
        <f>SUM(F38:F40)</f>
        <v>2846.126183051887</v>
      </c>
      <c r="H41" s="38">
        <f>SUM(H38:H40)</f>
        <v>2599.9456650261973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workbookViewId="0">
      <pane ySplit="3" topLeftCell="A12" activePane="bottomLeft" state="frozen"/>
      <selection pane="bottomLeft" activeCell="C26" sqref="C26"/>
    </sheetView>
  </sheetViews>
  <sheetFormatPr defaultRowHeight="12" x14ac:dyDescent="0.2"/>
  <cols>
    <col min="1" max="1" width="4.5703125" style="144" customWidth="1"/>
    <col min="2" max="2" width="35.85546875" style="145" customWidth="1"/>
    <col min="3" max="3" width="45.7109375" style="145" customWidth="1"/>
    <col min="4" max="4" width="30.85546875" style="145" customWidth="1"/>
    <col min="5" max="7" width="10.28515625" style="144" bestFit="1" customWidth="1"/>
    <col min="8" max="9" width="9.42578125" style="144" bestFit="1" customWidth="1"/>
    <col min="10" max="10" width="10" style="144" bestFit="1" customWidth="1"/>
    <col min="11" max="11" width="20.85546875" style="144" bestFit="1" customWidth="1"/>
    <col min="12" max="12" width="9.140625" style="144"/>
    <col min="13" max="13" width="50" style="144" bestFit="1" customWidth="1"/>
    <col min="14" max="16384" width="9.140625" style="144"/>
  </cols>
  <sheetData>
    <row r="1" spans="1:13" s="45" customFormat="1" ht="12.75" thickBot="1" x14ac:dyDescent="0.3">
      <c r="A1" s="41" t="s">
        <v>116</v>
      </c>
      <c r="B1" s="42"/>
      <c r="C1" s="43"/>
      <c r="D1" s="43"/>
      <c r="E1" s="44"/>
      <c r="F1" s="44"/>
      <c r="H1" s="46"/>
      <c r="I1" s="46"/>
      <c r="J1" s="46"/>
      <c r="L1" s="47"/>
    </row>
    <row r="2" spans="1:13" s="45" customFormat="1" ht="12.75" thickBot="1" x14ac:dyDescent="0.3">
      <c r="B2" s="42"/>
      <c r="C2" s="43"/>
      <c r="D2" s="43"/>
      <c r="E2" s="44"/>
      <c r="F2" s="44"/>
      <c r="H2" s="46"/>
      <c r="I2" s="46"/>
      <c r="J2" s="46"/>
      <c r="L2" s="47"/>
      <c r="M2" s="48" t="s">
        <v>117</v>
      </c>
    </row>
    <row r="3" spans="1:13" s="45" customFormat="1" ht="12.75" thickBot="1" x14ac:dyDescent="0.3">
      <c r="B3" s="42"/>
      <c r="C3" s="43"/>
      <c r="D3" s="43"/>
      <c r="E3" s="49">
        <v>2016</v>
      </c>
      <c r="F3" s="49">
        <v>2017</v>
      </c>
      <c r="G3" s="49">
        <v>2018</v>
      </c>
      <c r="H3" s="49">
        <v>2016</v>
      </c>
      <c r="I3" s="49">
        <v>2017</v>
      </c>
      <c r="J3" s="49">
        <v>2018</v>
      </c>
      <c r="K3" s="50" t="s">
        <v>118</v>
      </c>
      <c r="L3" s="49" t="s">
        <v>119</v>
      </c>
      <c r="M3" s="51" t="s">
        <v>120</v>
      </c>
    </row>
    <row r="4" spans="1:13" s="45" customFormat="1" ht="12.75" thickBot="1" x14ac:dyDescent="0.3">
      <c r="B4" s="42"/>
      <c r="C4" s="43"/>
      <c r="D4" s="43"/>
      <c r="E4" s="44"/>
      <c r="F4" s="44"/>
      <c r="H4" s="52"/>
      <c r="I4" s="52"/>
      <c r="J4" s="52"/>
      <c r="L4" s="53"/>
      <c r="M4" s="54" t="s">
        <v>121</v>
      </c>
    </row>
    <row r="5" spans="1:13" s="45" customFormat="1" ht="12.75" thickBot="1" x14ac:dyDescent="0.3">
      <c r="A5" s="55" t="s">
        <v>122</v>
      </c>
      <c r="B5" s="56" t="s">
        <v>123</v>
      </c>
      <c r="C5" s="57" t="s">
        <v>124</v>
      </c>
      <c r="D5" s="58" t="s">
        <v>123</v>
      </c>
      <c r="E5" s="110">
        <f>'Forecasted Income Statement'!D10</f>
        <v>10911.450448975065</v>
      </c>
      <c r="F5" s="110">
        <f>'Forecasted Income Statement'!F10</f>
        <v>9967.646010529561</v>
      </c>
      <c r="G5" s="110">
        <f>'Forecasted Income Statement'!H10</f>
        <v>9105.477539932228</v>
      </c>
      <c r="H5" s="59">
        <f>+E5/E6</f>
        <v>0.73677650526092264</v>
      </c>
      <c r="I5" s="59">
        <f>+F5/F6</f>
        <v>0.73677650526092253</v>
      </c>
      <c r="J5" s="59">
        <f>+G5/G6</f>
        <v>0.73677650526092264</v>
      </c>
      <c r="K5" s="60">
        <f>AVERAGE(H5:J5)</f>
        <v>0.73677650526092264</v>
      </c>
      <c r="L5" s="61">
        <v>0.50160000000000005</v>
      </c>
    </row>
    <row r="6" spans="1:13" s="45" customFormat="1" x14ac:dyDescent="0.25">
      <c r="A6" s="62"/>
      <c r="B6" s="260" t="s">
        <v>125</v>
      </c>
      <c r="C6" s="260"/>
      <c r="D6" s="57" t="s">
        <v>60</v>
      </c>
      <c r="E6" s="111">
        <f>'Forecasted Income Statement'!D8</f>
        <v>14809.715525756179</v>
      </c>
      <c r="F6" s="111">
        <f>'Forecasted Income Statement'!F8</f>
        <v>13528.724028733261</v>
      </c>
      <c r="G6" s="111">
        <f>'Forecasted Income Statement'!H8</f>
        <v>12358.534066864153</v>
      </c>
      <c r="H6" s="63"/>
      <c r="I6" s="63"/>
      <c r="J6" s="63"/>
      <c r="L6" s="64"/>
    </row>
    <row r="7" spans="1:13" s="45" customFormat="1" x14ac:dyDescent="0.25">
      <c r="A7" s="62"/>
      <c r="B7" s="65"/>
      <c r="C7" s="65"/>
      <c r="D7" s="65"/>
      <c r="E7" s="62"/>
      <c r="F7" s="62"/>
      <c r="G7" s="62"/>
      <c r="H7" s="63"/>
      <c r="I7" s="63"/>
      <c r="J7" s="63"/>
      <c r="L7" s="64"/>
    </row>
    <row r="8" spans="1:13" s="45" customFormat="1" ht="12.75" thickBot="1" x14ac:dyDescent="0.3">
      <c r="A8" s="62"/>
      <c r="B8" s="65"/>
      <c r="C8" s="65"/>
      <c r="D8" s="65"/>
      <c r="E8" s="62"/>
      <c r="F8" s="62"/>
      <c r="G8" s="62"/>
      <c r="H8" s="63"/>
      <c r="I8" s="63"/>
      <c r="J8" s="63"/>
      <c r="L8" s="64"/>
    </row>
    <row r="9" spans="1:13" s="45" customFormat="1" ht="24.75" thickBot="1" x14ac:dyDescent="0.3">
      <c r="A9" s="55" t="s">
        <v>126</v>
      </c>
      <c r="B9" s="56" t="s">
        <v>127</v>
      </c>
      <c r="C9" s="66" t="s">
        <v>128</v>
      </c>
      <c r="D9" s="58" t="s">
        <v>129</v>
      </c>
      <c r="E9" s="67">
        <f>'Forecasted Income Statement'!D14</f>
        <v>1998.2021061772275</v>
      </c>
      <c r="F9" s="67">
        <f>'Forecasted Income Statement'!F14</f>
        <v>1825.3642212837149</v>
      </c>
      <c r="G9" s="67">
        <f>'Forecasted Income Statement'!H14</f>
        <v>1667.4762427896169</v>
      </c>
      <c r="H9" s="68">
        <f>+E9/E10</f>
        <v>0.13492508365215206</v>
      </c>
      <c r="I9" s="68">
        <f>+F9/F10</f>
        <v>0.13492508365215206</v>
      </c>
      <c r="J9" s="68">
        <f>+G9/G10</f>
        <v>0.13492508365215206</v>
      </c>
      <c r="K9" s="60">
        <f>AVERAGE(H9:J9)</f>
        <v>0.13492508365215206</v>
      </c>
      <c r="L9" s="61">
        <v>0.12870000000000001</v>
      </c>
    </row>
    <row r="10" spans="1:13" s="45" customFormat="1" x14ac:dyDescent="0.25">
      <c r="A10" s="62"/>
      <c r="B10" s="260" t="s">
        <v>130</v>
      </c>
      <c r="C10" s="260"/>
      <c r="D10" s="57" t="s">
        <v>131</v>
      </c>
      <c r="E10" s="69">
        <f>'Forecasted Income Statement'!D$8</f>
        <v>14809.715525756179</v>
      </c>
      <c r="F10" s="69">
        <f>'Forecasted Income Statement'!F8</f>
        <v>13528.724028733261</v>
      </c>
      <c r="G10" s="69">
        <f>'Forecasted Income Statement'!H8</f>
        <v>12358.534066864153</v>
      </c>
      <c r="H10" s="70"/>
      <c r="I10" s="70"/>
      <c r="J10" s="70"/>
      <c r="L10" s="71"/>
    </row>
    <row r="11" spans="1:13" s="45" customFormat="1" x14ac:dyDescent="0.25">
      <c r="B11" s="42"/>
      <c r="C11" s="42"/>
      <c r="D11" s="42"/>
      <c r="H11" s="72"/>
      <c r="I11" s="72"/>
      <c r="J11" s="72"/>
      <c r="L11" s="44"/>
    </row>
    <row r="12" spans="1:13" s="45" customFormat="1" ht="12.75" thickBot="1" x14ac:dyDescent="0.3">
      <c r="B12" s="42"/>
      <c r="C12" s="42"/>
      <c r="D12" s="42"/>
      <c r="H12" s="112"/>
      <c r="I12" s="112"/>
      <c r="J12" s="112"/>
      <c r="L12" s="44"/>
    </row>
    <row r="13" spans="1:13" s="45" customFormat="1" ht="24.75" thickBot="1" x14ac:dyDescent="0.3">
      <c r="A13" s="55" t="s">
        <v>132</v>
      </c>
      <c r="B13" s="56" t="s">
        <v>133</v>
      </c>
      <c r="C13" s="57" t="s">
        <v>134</v>
      </c>
      <c r="D13" s="58" t="s">
        <v>135</v>
      </c>
      <c r="E13" s="113">
        <f>'Forecasted Income Statement'!D32-'Forecasted Balance Sheet'!D53</f>
        <v>860.2983664215119</v>
      </c>
      <c r="F13" s="113">
        <f>'Forecasted Income Statement'!F32-'Forecasted Balance Sheet'!F53</f>
        <v>742.29106211179715</v>
      </c>
      <c r="G13" s="113">
        <f>'Forecasted Income Statement'!H32-'Forecasted Balance Sheet'!H53</f>
        <v>634.49100001037755</v>
      </c>
      <c r="H13" s="114">
        <f>+E13/E14*1000</f>
        <v>0.38927527892376107</v>
      </c>
      <c r="I13" s="114">
        <f>+F13/F14*1000</f>
        <v>0.33587830864787205</v>
      </c>
      <c r="J13" s="114">
        <f>+G13/G14*1000</f>
        <v>0.28710000000469571</v>
      </c>
      <c r="K13" s="115">
        <f>AVERAGE(H13:J13)</f>
        <v>0.33741786252544292</v>
      </c>
      <c r="L13" s="116">
        <v>0.56000000000000005</v>
      </c>
    </row>
    <row r="14" spans="1:13" s="45" customFormat="1" ht="24" x14ac:dyDescent="0.25">
      <c r="A14" s="62"/>
      <c r="B14" s="260" t="s">
        <v>136</v>
      </c>
      <c r="C14" s="260"/>
      <c r="D14" s="57" t="s">
        <v>137</v>
      </c>
      <c r="E14" s="117">
        <f>AVERAGE('Forecasted Balance Sheet'!B54/0.1*1000,'Forecasted Balance Sheet'!D54/0.1*1000)</f>
        <v>2210000</v>
      </c>
      <c r="F14" s="117">
        <f>AVERAGE('Forecasted Balance Sheet'!D54/0.1*1000,'Forecasted Balance Sheet'!F54/0.1*1000)</f>
        <v>2210000</v>
      </c>
      <c r="G14" s="117">
        <f>AVERAGE('Forecasted Balance Sheet'!F54/0.1*1000,'Forecasted Balance Sheet'!H54/0.1*1000)</f>
        <v>2210000</v>
      </c>
      <c r="H14" s="63"/>
      <c r="I14" s="63"/>
      <c r="J14" s="63"/>
      <c r="L14" s="64"/>
    </row>
    <row r="15" spans="1:13" s="45" customFormat="1" ht="12.75" thickBot="1" x14ac:dyDescent="0.3">
      <c r="A15" s="62"/>
      <c r="B15" s="65"/>
      <c r="C15" s="65"/>
      <c r="D15" s="65"/>
      <c r="E15" s="62"/>
      <c r="F15" s="62"/>
      <c r="G15" s="62"/>
      <c r="H15" s="63"/>
      <c r="I15" s="63"/>
      <c r="J15" s="63"/>
      <c r="L15" s="64"/>
    </row>
    <row r="16" spans="1:13" s="45" customFormat="1" ht="12.75" thickBot="1" x14ac:dyDescent="0.3">
      <c r="A16" s="55" t="s">
        <v>138</v>
      </c>
      <c r="B16" s="56" t="s">
        <v>139</v>
      </c>
      <c r="C16" s="57" t="s">
        <v>140</v>
      </c>
      <c r="D16" s="58" t="s">
        <v>141</v>
      </c>
      <c r="E16" s="113">
        <f>-'Forecasted Income Statement'!D28</f>
        <v>584.69929989493357</v>
      </c>
      <c r="F16" s="113">
        <f>-'Forecasted Income Statement'!F28</f>
        <v>534.124740905056</v>
      </c>
      <c r="G16" s="113">
        <f>-'Forecasted Income Statement'!H28</f>
        <v>487.92471429016177</v>
      </c>
      <c r="H16" s="73">
        <f>+E16/E17</f>
        <v>0.3</v>
      </c>
      <c r="I16" s="73">
        <f>+F16/F17</f>
        <v>0.3</v>
      </c>
      <c r="J16" s="73">
        <f>+G16/G17</f>
        <v>0.3</v>
      </c>
      <c r="K16" s="60">
        <f>AVERAGE(H16:J16)</f>
        <v>0.3</v>
      </c>
      <c r="L16" s="74">
        <v>0.4</v>
      </c>
    </row>
    <row r="17" spans="1:12" s="45" customFormat="1" x14ac:dyDescent="0.25">
      <c r="A17" s="62"/>
      <c r="B17" s="260" t="s">
        <v>142</v>
      </c>
      <c r="C17" s="260"/>
      <c r="D17" s="57" t="s">
        <v>143</v>
      </c>
      <c r="E17" s="118">
        <f>'Forecasted Income Statement'!D$27</f>
        <v>1948.9976663164455</v>
      </c>
      <c r="F17" s="118">
        <f>'Forecasted Income Statement'!F27</f>
        <v>1780.4158030168533</v>
      </c>
      <c r="G17" s="118">
        <f>'Forecasted Income Statement'!H27</f>
        <v>1626.4157143005393</v>
      </c>
      <c r="H17" s="75"/>
      <c r="I17" s="75"/>
      <c r="J17" s="75"/>
      <c r="L17" s="76"/>
    </row>
    <row r="18" spans="1:12" s="45" customFormat="1" ht="12.75" thickBot="1" x14ac:dyDescent="0.3">
      <c r="A18" s="62"/>
      <c r="B18" s="65"/>
      <c r="C18" s="65"/>
      <c r="D18" s="65"/>
      <c r="E18" s="62"/>
      <c r="F18" s="62"/>
      <c r="G18" s="62"/>
      <c r="H18" s="77"/>
      <c r="I18" s="77"/>
      <c r="J18" s="77"/>
      <c r="L18" s="78"/>
    </row>
    <row r="19" spans="1:12" s="45" customFormat="1" ht="12.75" thickBot="1" x14ac:dyDescent="0.3">
      <c r="A19" s="55" t="s">
        <v>144</v>
      </c>
      <c r="B19" s="56" t="s">
        <v>145</v>
      </c>
      <c r="C19" s="57" t="s">
        <v>146</v>
      </c>
      <c r="D19" s="58" t="s">
        <v>147</v>
      </c>
      <c r="E19" s="113">
        <f>'Forecasted Income Statement'!D$32</f>
        <v>860.2983664215119</v>
      </c>
      <c r="F19" s="113">
        <f>'Forecasted Income Statement'!F$32</f>
        <v>742.29106211179715</v>
      </c>
      <c r="G19" s="113">
        <f>'Forecasted Income Statement'!H$32</f>
        <v>634.49100001037755</v>
      </c>
      <c r="H19" s="73">
        <f>+E19/E20</f>
        <v>6.0426941520089338E-2</v>
      </c>
      <c r="I19" s="73">
        <f>+F19/F20</f>
        <v>4.8883178275390002E-2</v>
      </c>
      <c r="J19" s="73">
        <f>+G19/G20</f>
        <v>4.1784063220966582E-2</v>
      </c>
      <c r="K19" s="60">
        <f>AVERAGE(H19:J19)</f>
        <v>5.036472767214864E-2</v>
      </c>
      <c r="L19" s="61">
        <v>2.1999999999999999E-2</v>
      </c>
    </row>
    <row r="20" spans="1:12" s="45" customFormat="1" x14ac:dyDescent="0.25">
      <c r="A20" s="62"/>
      <c r="B20" s="260" t="s">
        <v>148</v>
      </c>
      <c r="C20" s="260"/>
      <c r="D20" s="57" t="s">
        <v>149</v>
      </c>
      <c r="E20" s="118">
        <f>AVERAGE('Forecasted Balance Sheet'!D$60,'Forecasted Balance Sheet'!B$60)</f>
        <v>14237</v>
      </c>
      <c r="F20" s="118">
        <f>AVERAGE('Forecasted Balance Sheet'!F$60,'Forecasted Balance Sheet'!D$60)</f>
        <v>15185</v>
      </c>
      <c r="G20" s="118">
        <f>AVERAGE('Forecasted Balance Sheet'!H$60,'Forecasted Balance Sheet'!F$60)</f>
        <v>15185</v>
      </c>
      <c r="H20" s="75"/>
      <c r="I20" s="75"/>
      <c r="J20" s="75"/>
      <c r="L20" s="76"/>
    </row>
    <row r="21" spans="1:12" s="45" customFormat="1" ht="12.75" thickBot="1" x14ac:dyDescent="0.3">
      <c r="A21" s="62"/>
      <c r="B21" s="79"/>
      <c r="C21" s="79"/>
      <c r="D21" s="57"/>
      <c r="E21" s="64"/>
      <c r="F21" s="64"/>
      <c r="G21" s="64"/>
      <c r="H21" s="77"/>
      <c r="I21" s="77"/>
      <c r="J21" s="77"/>
      <c r="L21" s="78"/>
    </row>
    <row r="22" spans="1:12" s="45" customFormat="1" ht="12.75" thickBot="1" x14ac:dyDescent="0.3">
      <c r="A22" s="55" t="s">
        <v>150</v>
      </c>
      <c r="B22" s="56" t="s">
        <v>151</v>
      </c>
      <c r="C22" s="57" t="s">
        <v>152</v>
      </c>
      <c r="D22" s="58" t="s">
        <v>147</v>
      </c>
      <c r="E22" s="113">
        <f>'Forecasted Income Statement'!D$32</f>
        <v>860.2983664215119</v>
      </c>
      <c r="F22" s="113">
        <f>'Forecasted Income Statement'!F$32</f>
        <v>742.29106211179715</v>
      </c>
      <c r="G22" s="113">
        <f>'Forecasted Income Statement'!H$32</f>
        <v>634.49100001037755</v>
      </c>
      <c r="H22" s="73">
        <f>+E22/E23</f>
        <v>2.7557232999837596E-2</v>
      </c>
      <c r="I22" s="73">
        <f>+F22/F23</f>
        <v>2.2929977289246735E-2</v>
      </c>
      <c r="J22" s="73">
        <f>+G22/G23</f>
        <v>1.9993643678892545E-2</v>
      </c>
      <c r="K22" s="60">
        <f>AVERAGE(H22:J22)</f>
        <v>2.3493617989325626E-2</v>
      </c>
      <c r="L22" s="61">
        <v>0.01</v>
      </c>
    </row>
    <row r="23" spans="1:12" s="45" customFormat="1" x14ac:dyDescent="0.25">
      <c r="A23" s="62"/>
      <c r="B23" s="260" t="s">
        <v>153</v>
      </c>
      <c r="C23" s="260"/>
      <c r="D23" s="57" t="s">
        <v>154</v>
      </c>
      <c r="E23" s="80">
        <f>AVERAGE('Forecasted Balance Sheet'!B$26,'Forecasted Balance Sheet'!D$26)</f>
        <v>31218.604800655492</v>
      </c>
      <c r="F23" s="80">
        <f>AVERAGE('Forecasted Balance Sheet'!D26,'Forecasted Balance Sheet'!F26)</f>
        <v>32372.080126738838</v>
      </c>
      <c r="G23" s="80">
        <f>AVERAGE('Forecasted Balance Sheet'!F26,'Forecasted Balance Sheet'!H26)</f>
        <v>31734.635777280306</v>
      </c>
      <c r="H23" s="75"/>
      <c r="I23" s="75"/>
      <c r="J23" s="75"/>
      <c r="L23" s="76"/>
    </row>
    <row r="24" spans="1:12" s="45" customFormat="1" x14ac:dyDescent="0.25">
      <c r="A24" s="62"/>
      <c r="B24" s="79"/>
      <c r="C24" s="79"/>
      <c r="D24" s="57"/>
      <c r="E24" s="64"/>
      <c r="F24" s="64"/>
      <c r="G24" s="64"/>
      <c r="H24" s="77"/>
      <c r="I24" s="77"/>
      <c r="J24" s="77"/>
      <c r="L24" s="78"/>
    </row>
    <row r="25" spans="1:12" s="45" customFormat="1" ht="12.75" thickBot="1" x14ac:dyDescent="0.3">
      <c r="A25" s="55" t="s">
        <v>155</v>
      </c>
      <c r="B25" s="56" t="s">
        <v>156</v>
      </c>
      <c r="C25" s="65"/>
      <c r="D25" s="65"/>
      <c r="E25" s="62"/>
      <c r="F25" s="62"/>
      <c r="G25" s="62"/>
      <c r="H25" s="77"/>
      <c r="I25" s="77"/>
      <c r="J25" s="77"/>
      <c r="L25" s="78"/>
    </row>
    <row r="26" spans="1:12" s="45" customFormat="1" ht="12.75" thickBot="1" x14ac:dyDescent="0.3">
      <c r="A26" s="62"/>
      <c r="B26" s="56" t="s">
        <v>157</v>
      </c>
      <c r="C26" s="57" t="s">
        <v>158</v>
      </c>
      <c r="D26" s="58" t="s">
        <v>147</v>
      </c>
      <c r="E26" s="113">
        <f>'Forecasted Income Statement'!D$32</f>
        <v>860.2983664215119</v>
      </c>
      <c r="F26" s="113">
        <f>'Forecasted Income Statement'!F$32</f>
        <v>742.29106211179715</v>
      </c>
      <c r="G26" s="113">
        <f>'Forecasted Income Statement'!H$32</f>
        <v>634.49100001037755</v>
      </c>
      <c r="H26" s="81">
        <f>+E26/E27</f>
        <v>5.8090134474584068E-2</v>
      </c>
      <c r="I26" s="81">
        <f>+F26/F27</f>
        <v>5.4867780622567724E-2</v>
      </c>
      <c r="J26" s="81">
        <f>+G26/G27</f>
        <v>5.1340312417116063E-2</v>
      </c>
      <c r="K26" s="60">
        <f>AVERAGE(H26:J26)</f>
        <v>5.476607583808929E-2</v>
      </c>
      <c r="L26" s="61">
        <v>0.1208</v>
      </c>
    </row>
    <row r="27" spans="1:12" s="45" customFormat="1" ht="24" x14ac:dyDescent="0.25">
      <c r="A27" s="62"/>
      <c r="B27" s="65" t="s">
        <v>159</v>
      </c>
      <c r="C27" s="65"/>
      <c r="D27" s="57" t="s">
        <v>131</v>
      </c>
      <c r="E27" s="69">
        <f>'Forecasted Income Statement'!D$8</f>
        <v>14809.715525756179</v>
      </c>
      <c r="F27" s="69">
        <f>'Forecasted Income Statement'!F$8</f>
        <v>13528.724028733261</v>
      </c>
      <c r="G27" s="69">
        <f>'Forecasted Income Statement'!H$8</f>
        <v>12358.534066864153</v>
      </c>
      <c r="H27" s="63"/>
      <c r="I27" s="63"/>
      <c r="J27" s="63"/>
      <c r="L27" s="64"/>
    </row>
    <row r="28" spans="1:12" s="45" customFormat="1" ht="12.75" thickBot="1" x14ac:dyDescent="0.3">
      <c r="A28" s="62"/>
      <c r="B28" s="65"/>
      <c r="C28" s="65"/>
      <c r="D28" s="65"/>
      <c r="E28" s="62"/>
      <c r="F28" s="62"/>
      <c r="G28" s="62"/>
      <c r="H28" s="63"/>
      <c r="I28" s="63"/>
      <c r="J28" s="63"/>
      <c r="L28" s="64"/>
    </row>
    <row r="29" spans="1:12" s="45" customFormat="1" ht="12.75" thickBot="1" x14ac:dyDescent="0.3">
      <c r="A29" s="62"/>
      <c r="B29" s="56" t="s">
        <v>160</v>
      </c>
      <c r="C29" s="57" t="s">
        <v>161</v>
      </c>
      <c r="D29" s="58" t="s">
        <v>131</v>
      </c>
      <c r="E29" s="69">
        <f>'Forecasted Income Statement'!D$8</f>
        <v>14809.715525756179</v>
      </c>
      <c r="F29" s="69">
        <f>'Forecasted Income Statement'!F$8</f>
        <v>13528.724028733261</v>
      </c>
      <c r="G29" s="69">
        <f>'Forecasted Income Statement'!H$8</f>
        <v>12358.534066864153</v>
      </c>
      <c r="H29" s="82">
        <f>+E29/E30</f>
        <v>0.47438748849677043</v>
      </c>
      <c r="I29" s="82">
        <f>+F29/F30</f>
        <v>0.41791333691772076</v>
      </c>
      <c r="J29" s="82">
        <f>+G29/G30</f>
        <v>0.38943361926693248</v>
      </c>
      <c r="K29" s="119">
        <f>AVERAGE(H29:J29)</f>
        <v>0.42724481489380789</v>
      </c>
      <c r="L29" s="120">
        <v>0.1</v>
      </c>
    </row>
    <row r="30" spans="1:12" s="45" customFormat="1" x14ac:dyDescent="0.25">
      <c r="A30" s="62"/>
      <c r="B30" s="260" t="s">
        <v>162</v>
      </c>
      <c r="C30" s="260"/>
      <c r="D30" s="57" t="s">
        <v>154</v>
      </c>
      <c r="E30" s="80">
        <f>AVERAGE('Forecasted Balance Sheet'!B$26,'Forecasted Balance Sheet'!D$26)</f>
        <v>31218.604800655492</v>
      </c>
      <c r="F30" s="80">
        <f>AVERAGE('Forecasted Balance Sheet'!D$26,'Forecasted Balance Sheet'!F$26)</f>
        <v>32372.080126738838</v>
      </c>
      <c r="G30" s="80">
        <f>AVERAGE('Forecasted Balance Sheet'!F$26,'Forecasted Balance Sheet'!H$26)</f>
        <v>31734.635777280306</v>
      </c>
      <c r="H30" s="63"/>
      <c r="I30" s="63"/>
      <c r="J30" s="63"/>
      <c r="L30" s="64"/>
    </row>
    <row r="31" spans="1:12" s="45" customFormat="1" ht="12.75" thickBot="1" x14ac:dyDescent="0.3">
      <c r="A31" s="62"/>
      <c r="B31" s="65"/>
      <c r="C31" s="65"/>
      <c r="D31" s="65"/>
      <c r="E31" s="62"/>
      <c r="F31" s="62"/>
      <c r="G31" s="62"/>
      <c r="H31" s="63"/>
      <c r="I31" s="63"/>
      <c r="J31" s="63"/>
      <c r="L31" s="64"/>
    </row>
    <row r="32" spans="1:12" s="45" customFormat="1" ht="12.75" thickBot="1" x14ac:dyDescent="0.3">
      <c r="A32" s="55" t="s">
        <v>163</v>
      </c>
      <c r="B32" s="56" t="s">
        <v>164</v>
      </c>
      <c r="C32" s="57" t="s">
        <v>165</v>
      </c>
      <c r="D32" s="58" t="s">
        <v>166</v>
      </c>
      <c r="E32" s="118">
        <f>'Forecasted Income Statement'!D$27</f>
        <v>1948.9976663164455</v>
      </c>
      <c r="F32" s="118">
        <f>'Forecasted Income Statement'!F$27</f>
        <v>1780.4158030168533</v>
      </c>
      <c r="G32" s="118">
        <f>'Forecasted Income Statement'!H$27</f>
        <v>1626.4157143005393</v>
      </c>
      <c r="H32" s="121">
        <f>E32-E33</f>
        <v>1776.1565441773155</v>
      </c>
      <c r="I32" s="121">
        <f>F32-F33</f>
        <v>1622.5248672881958</v>
      </c>
      <c r="J32" s="121">
        <f>G32-G33</f>
        <v>1482.1818232175842</v>
      </c>
      <c r="K32" s="122">
        <f>AVERAGE(H32:J32)</f>
        <v>1626.9544115610317</v>
      </c>
      <c r="L32" s="123">
        <f>163688.439333333/1000</f>
        <v>163.68843933333298</v>
      </c>
    </row>
    <row r="33" spans="1:12" s="45" customFormat="1" x14ac:dyDescent="0.25">
      <c r="A33" s="62"/>
      <c r="B33" s="260" t="s">
        <v>167</v>
      </c>
      <c r="C33" s="260"/>
      <c r="D33" s="66" t="s">
        <v>168</v>
      </c>
      <c r="E33" s="124">
        <f>'Forecasted Income Statement'!D28+('Forecasted Income Statement'!D14-'Forecasted Income Statement'!D26)*0.37</f>
        <v>172.84112213913011</v>
      </c>
      <c r="F33" s="124">
        <f>'Forecasted Income Statement'!F28+('Forecasted Income Statement'!F14-'Forecasted Income Statement'!F26)*0.37</f>
        <v>157.8909357286575</v>
      </c>
      <c r="G33" s="124">
        <f>'Forecasted Income Statement'!H28+('Forecasted Income Statement'!H14-'Forecasted Income Statement'!H26)*0.37</f>
        <v>144.23389108295521</v>
      </c>
      <c r="H33" s="83"/>
      <c r="I33" s="63"/>
      <c r="J33" s="63"/>
      <c r="L33" s="64"/>
    </row>
    <row r="34" spans="1:12" s="45" customFormat="1" x14ac:dyDescent="0.25">
      <c r="A34" s="62"/>
      <c r="B34" s="65"/>
      <c r="C34" s="65"/>
      <c r="D34" s="65"/>
      <c r="E34" s="62"/>
      <c r="F34" s="62"/>
      <c r="G34" s="62"/>
      <c r="H34" s="63"/>
      <c r="I34" s="63"/>
      <c r="J34" s="63"/>
      <c r="L34" s="64"/>
    </row>
    <row r="35" spans="1:12" s="45" customFormat="1" ht="36" x14ac:dyDescent="0.25">
      <c r="A35" s="62"/>
      <c r="B35" s="56" t="s">
        <v>169</v>
      </c>
      <c r="C35" s="43"/>
      <c r="D35" s="65"/>
      <c r="E35" s="111"/>
      <c r="F35" s="111"/>
      <c r="G35" s="111"/>
      <c r="H35" s="46"/>
      <c r="I35" s="63"/>
      <c r="J35" s="63"/>
      <c r="L35" s="64"/>
    </row>
    <row r="36" spans="1:12" s="45" customFormat="1" x14ac:dyDescent="0.25">
      <c r="A36" s="62"/>
      <c r="B36" s="56" t="s">
        <v>170</v>
      </c>
      <c r="C36" s="43"/>
      <c r="D36" s="65"/>
      <c r="E36" s="111"/>
      <c r="F36" s="111"/>
      <c r="G36" s="111"/>
      <c r="H36" s="46"/>
      <c r="I36" s="63"/>
      <c r="J36" s="63"/>
      <c r="L36" s="64"/>
    </row>
    <row r="37" spans="1:12" s="45" customFormat="1" ht="12.75" thickBot="1" x14ac:dyDescent="0.3">
      <c r="A37" s="62"/>
      <c r="B37" s="65"/>
      <c r="C37" s="65"/>
      <c r="D37" s="65"/>
      <c r="E37" s="62"/>
      <c r="F37" s="62"/>
      <c r="G37" s="62"/>
      <c r="H37" s="63"/>
      <c r="I37" s="63"/>
      <c r="J37" s="63"/>
      <c r="L37" s="64"/>
    </row>
    <row r="38" spans="1:12" s="45" customFormat="1" ht="12.75" thickBot="1" x14ac:dyDescent="0.3">
      <c r="A38" s="55" t="s">
        <v>171</v>
      </c>
      <c r="B38" s="56" t="s">
        <v>172</v>
      </c>
      <c r="C38" s="57" t="s">
        <v>173</v>
      </c>
      <c r="D38" s="58" t="s">
        <v>174</v>
      </c>
      <c r="E38" s="113">
        <f>'Forecasted Balance Sheet'!D26-'Forecasted Balance Sheet'!D5-'Forecasted Balance Sheet'!D6-'Forecasted Balance Sheet'!D15-'Forecasted Balance Sheet'!D22</f>
        <v>22124.092856384934</v>
      </c>
      <c r="F38" s="113">
        <f>'Forecasted Balance Sheet'!F26-'Forecasted Balance Sheet'!F5-'Forecasted Balance Sheet'!F6-'Forecasted Balance Sheet'!F15-'Forecasted Balance Sheet'!F22</f>
        <v>21727.324469114803</v>
      </c>
      <c r="G38" s="113">
        <f>'Forecasted Balance Sheet'!H26-'Forecasted Balance Sheet'!H5-'Forecasted Balance Sheet'!H6-'Forecasted Balance Sheet'!H15-'Forecasted Balance Sheet'!H22</f>
        <v>21364.875237367723</v>
      </c>
      <c r="H38" s="121">
        <f>+E38-E39</f>
        <v>5389.3763003795866</v>
      </c>
      <c r="I38" s="121">
        <f>+F38-F39</f>
        <v>5170.1369821279077</v>
      </c>
      <c r="J38" s="121">
        <f>+G38-G39</f>
        <v>4956.7933169628486</v>
      </c>
      <c r="K38" s="122">
        <f>AVERAGE(H38:J38)</f>
        <v>5172.1021998234473</v>
      </c>
      <c r="L38" s="123">
        <f>660375/1000</f>
        <v>660.375</v>
      </c>
    </row>
    <row r="39" spans="1:12" s="45" customFormat="1" x14ac:dyDescent="0.25">
      <c r="A39" s="62"/>
      <c r="B39" s="260" t="s">
        <v>175</v>
      </c>
      <c r="C39" s="260"/>
      <c r="D39" s="57" t="s">
        <v>176</v>
      </c>
      <c r="E39" s="118">
        <f>'Forecasted Balance Sheet'!D52-'Forecasted Balance Sheet'!D50-'Forecasted Balance Sheet'!D42-'Forecasted Balance Sheet'!D28</f>
        <v>16734.716556005347</v>
      </c>
      <c r="F39" s="118">
        <f>'Forecasted Balance Sheet'!F52-'Forecasted Balance Sheet'!F50-'Forecasted Balance Sheet'!F42-'Forecasted Balance Sheet'!F28</f>
        <v>16557.187486986895</v>
      </c>
      <c r="G39" s="118">
        <f>'Forecasted Balance Sheet'!H52-'Forecasted Balance Sheet'!H50-'Forecasted Balance Sheet'!H42-'Forecasted Balance Sheet'!H28</f>
        <v>16408.081920404875</v>
      </c>
      <c r="H39" s="63"/>
      <c r="I39" s="84"/>
      <c r="J39" s="84"/>
      <c r="L39" s="64"/>
    </row>
    <row r="40" spans="1:12" s="45" customFormat="1" ht="12.75" thickBot="1" x14ac:dyDescent="0.3">
      <c r="A40" s="62"/>
      <c r="B40" s="65"/>
      <c r="C40" s="65"/>
      <c r="D40" s="65"/>
      <c r="E40" s="62"/>
      <c r="F40" s="62"/>
      <c r="G40" s="62"/>
      <c r="H40" s="63"/>
      <c r="I40" s="63"/>
      <c r="J40" s="63"/>
      <c r="L40" s="64"/>
    </row>
    <row r="41" spans="1:12" s="45" customFormat="1" ht="12.75" thickBot="1" x14ac:dyDescent="0.3">
      <c r="A41" s="55" t="s">
        <v>177</v>
      </c>
      <c r="B41" s="56" t="s">
        <v>178</v>
      </c>
      <c r="C41" s="57" t="s">
        <v>179</v>
      </c>
      <c r="D41" s="58" t="s">
        <v>180</v>
      </c>
      <c r="E41" s="67">
        <f>+H32</f>
        <v>1776.1565441773155</v>
      </c>
      <c r="F41" s="67">
        <f>+I32</f>
        <v>1622.5248672881958</v>
      </c>
      <c r="G41" s="67">
        <f>+J32</f>
        <v>1482.1818232175842</v>
      </c>
      <c r="H41" s="73">
        <f>+E41/E42</f>
        <v>0.33640879018915232</v>
      </c>
      <c r="I41" s="73">
        <f>+F41/F42</f>
        <v>0.32043764879745912</v>
      </c>
      <c r="J41" s="73">
        <f>+G41/G42</f>
        <v>0.29902029970572874</v>
      </c>
      <c r="K41" s="85">
        <f>AVERAGE(H41:J41)</f>
        <v>0.31862224623078006</v>
      </c>
      <c r="L41" s="74">
        <v>0.27200000000000002</v>
      </c>
    </row>
    <row r="42" spans="1:12" s="45" customFormat="1" x14ac:dyDescent="0.25">
      <c r="A42" s="55"/>
      <c r="B42" s="56"/>
      <c r="C42" s="57"/>
      <c r="D42" s="57" t="s">
        <v>181</v>
      </c>
      <c r="E42" s="80">
        <f>AVERAGE(H38,I38)</f>
        <v>5279.7566412537471</v>
      </c>
      <c r="F42" s="80">
        <f>AVERAGE(I38,J38)</f>
        <v>5063.4651495453782</v>
      </c>
      <c r="G42" s="80">
        <f>AVERAGE(J38)</f>
        <v>4956.7933169628486</v>
      </c>
      <c r="H42" s="75"/>
      <c r="I42" s="75"/>
      <c r="J42" s="75"/>
      <c r="L42" s="76"/>
    </row>
    <row r="43" spans="1:12" s="45" customFormat="1" ht="12.75" thickBot="1" x14ac:dyDescent="0.3">
      <c r="A43" s="55"/>
      <c r="B43" s="56"/>
      <c r="C43" s="57"/>
      <c r="D43" s="65"/>
      <c r="E43" s="62"/>
      <c r="F43" s="62"/>
      <c r="G43" s="62"/>
      <c r="H43" s="75"/>
      <c r="I43" s="75"/>
      <c r="J43" s="75"/>
      <c r="L43" s="76"/>
    </row>
    <row r="44" spans="1:12" s="45" customFormat="1" ht="12.75" thickBot="1" x14ac:dyDescent="0.3">
      <c r="A44" s="62"/>
      <c r="B44" s="56" t="s">
        <v>182</v>
      </c>
      <c r="C44" s="57" t="s">
        <v>183</v>
      </c>
      <c r="D44" s="58" t="s">
        <v>180</v>
      </c>
      <c r="E44" s="67">
        <f>+H32</f>
        <v>1776.1565441773155</v>
      </c>
      <c r="F44" s="67">
        <f>+I32</f>
        <v>1622.5248672881958</v>
      </c>
      <c r="G44" s="67">
        <f>+J32</f>
        <v>1482.1818232175842</v>
      </c>
      <c r="H44" s="81">
        <f>+E44/E45</f>
        <v>0.11993184751512137</v>
      </c>
      <c r="I44" s="81">
        <f>+F44/F45</f>
        <v>0.11993184751512136</v>
      </c>
      <c r="J44" s="81">
        <f>+G44/G45</f>
        <v>0.11993184751512136</v>
      </c>
      <c r="K44" s="60">
        <f>AVERAGE(H44:J44)</f>
        <v>0.11993184751512137</v>
      </c>
      <c r="L44" s="86">
        <v>0.08</v>
      </c>
    </row>
    <row r="45" spans="1:12" s="45" customFormat="1" x14ac:dyDescent="0.25">
      <c r="A45" s="62"/>
      <c r="B45" s="260" t="s">
        <v>184</v>
      </c>
      <c r="C45" s="260"/>
      <c r="D45" s="57" t="s">
        <v>185</v>
      </c>
      <c r="E45" s="69">
        <f>'Forecasted Income Statement'!D$8</f>
        <v>14809.715525756179</v>
      </c>
      <c r="F45" s="69">
        <f>'Forecasted Income Statement'!F$8</f>
        <v>13528.724028733261</v>
      </c>
      <c r="G45" s="69">
        <f>'Forecasted Income Statement'!H$8</f>
        <v>12358.534066864153</v>
      </c>
      <c r="H45" s="63"/>
      <c r="I45" s="63"/>
      <c r="J45" s="63"/>
      <c r="L45" s="64"/>
    </row>
    <row r="46" spans="1:12" s="45" customFormat="1" ht="12.75" thickBot="1" x14ac:dyDescent="0.3">
      <c r="A46" s="62"/>
      <c r="B46" s="65"/>
      <c r="C46" s="65"/>
      <c r="D46" s="65"/>
      <c r="E46" s="62"/>
      <c r="F46" s="62"/>
      <c r="G46" s="62"/>
      <c r="H46" s="63"/>
      <c r="I46" s="63"/>
      <c r="J46" s="63"/>
      <c r="L46" s="64"/>
    </row>
    <row r="47" spans="1:12" s="45" customFormat="1" ht="12.75" thickBot="1" x14ac:dyDescent="0.3">
      <c r="A47" s="62"/>
      <c r="B47" s="56" t="s">
        <v>186</v>
      </c>
      <c r="C47" s="57" t="s">
        <v>187</v>
      </c>
      <c r="D47" s="58" t="s">
        <v>185</v>
      </c>
      <c r="E47" s="69">
        <f>'Forecasted Income Statement'!D$8</f>
        <v>14809.715525756179</v>
      </c>
      <c r="F47" s="69">
        <f>'Forecasted Income Statement'!F$8</f>
        <v>13528.724028733261</v>
      </c>
      <c r="G47" s="69">
        <f>'Forecasted Income Statement'!H$8</f>
        <v>12358.534066864153</v>
      </c>
      <c r="H47" s="125">
        <f>+E47/E48</f>
        <v>2.8049996490443201</v>
      </c>
      <c r="I47" s="125">
        <f>+F47/F48</f>
        <v>2.6718311727588238</v>
      </c>
      <c r="J47" s="125">
        <f>+G47/G48</f>
        <v>2.4932518417847884</v>
      </c>
      <c r="K47" s="126">
        <f>AVERAGE(H47:J47)</f>
        <v>2.6566942211959774</v>
      </c>
      <c r="L47" s="127">
        <v>1.3</v>
      </c>
    </row>
    <row r="48" spans="1:12" s="45" customFormat="1" x14ac:dyDescent="0.25">
      <c r="A48" s="62"/>
      <c r="B48" s="260" t="s">
        <v>188</v>
      </c>
      <c r="C48" s="260"/>
      <c r="D48" s="57" t="s">
        <v>181</v>
      </c>
      <c r="E48" s="80">
        <f>AVERAGE(H38,I38)</f>
        <v>5279.7566412537471</v>
      </c>
      <c r="F48" s="80">
        <f>AVERAGE(I38,J38)</f>
        <v>5063.4651495453782</v>
      </c>
      <c r="G48" s="80">
        <f>AVERAGE(J38)</f>
        <v>4956.7933169628486</v>
      </c>
      <c r="H48" s="63"/>
      <c r="I48" s="63"/>
      <c r="J48" s="63"/>
      <c r="L48" s="64"/>
    </row>
    <row r="49" spans="1:12" s="45" customFormat="1" ht="12.75" thickBot="1" x14ac:dyDescent="0.3">
      <c r="A49" s="62"/>
      <c r="B49" s="65"/>
      <c r="C49" s="65"/>
      <c r="D49" s="65"/>
      <c r="E49" s="62"/>
      <c r="F49" s="62"/>
      <c r="G49" s="62"/>
      <c r="H49" s="63"/>
      <c r="I49" s="63"/>
      <c r="J49" s="63"/>
      <c r="L49" s="64"/>
    </row>
    <row r="50" spans="1:12" s="45" customFormat="1" ht="12.75" thickBot="1" x14ac:dyDescent="0.3">
      <c r="A50" s="55" t="s">
        <v>189</v>
      </c>
      <c r="B50" s="56" t="s">
        <v>190</v>
      </c>
      <c r="C50" s="57" t="s">
        <v>191</v>
      </c>
      <c r="D50" s="58" t="s">
        <v>180</v>
      </c>
      <c r="E50" s="67">
        <f>+H32</f>
        <v>1776.1565441773155</v>
      </c>
      <c r="F50" s="67">
        <f>+I32</f>
        <v>1622.5248672881958</v>
      </c>
      <c r="G50" s="67">
        <f>+J32</f>
        <v>1482.1818232175842</v>
      </c>
      <c r="H50" s="128">
        <f>+E50-E51</f>
        <v>915.85817775580358</v>
      </c>
      <c r="I50" s="128">
        <f>+F50-F51</f>
        <v>880.23380517639862</v>
      </c>
      <c r="J50" s="128">
        <f>+G50-G51</f>
        <v>847.69082320720668</v>
      </c>
      <c r="K50" s="129">
        <f>AVERAGE(H50:J50)</f>
        <v>881.26093537980296</v>
      </c>
      <c r="L50" s="130">
        <f>2694.89/1000</f>
        <v>2.69489</v>
      </c>
    </row>
    <row r="51" spans="1:12" s="45" customFormat="1" x14ac:dyDescent="0.25">
      <c r="A51" s="62"/>
      <c r="B51" s="260" t="s">
        <v>192</v>
      </c>
      <c r="C51" s="260"/>
      <c r="D51" s="57" t="s">
        <v>193</v>
      </c>
      <c r="E51" s="80">
        <f>'Forecasted Income Statement'!D32</f>
        <v>860.2983664215119</v>
      </c>
      <c r="F51" s="80">
        <f>'Forecasted Income Statement'!F32</f>
        <v>742.29106211179715</v>
      </c>
      <c r="G51" s="80">
        <f>'Forecasted Income Statement'!H32</f>
        <v>634.49100001037755</v>
      </c>
      <c r="H51" s="63"/>
      <c r="I51" s="63"/>
      <c r="J51" s="63"/>
      <c r="L51" s="64"/>
    </row>
    <row r="52" spans="1:12" s="45" customFormat="1" ht="12.75" thickBot="1" x14ac:dyDescent="0.3">
      <c r="A52" s="62"/>
      <c r="B52" s="65"/>
      <c r="C52" s="65"/>
      <c r="D52" s="65"/>
      <c r="E52" s="62"/>
      <c r="F52" s="62"/>
      <c r="G52" s="62"/>
      <c r="H52" s="63"/>
      <c r="I52" s="63"/>
      <c r="J52" s="63"/>
      <c r="L52" s="64"/>
    </row>
    <row r="53" spans="1:12" s="45" customFormat="1" ht="12.75" thickBot="1" x14ac:dyDescent="0.3">
      <c r="A53" s="55" t="s">
        <v>194</v>
      </c>
      <c r="B53" s="56" t="s">
        <v>195</v>
      </c>
      <c r="C53" s="57" t="s">
        <v>196</v>
      </c>
      <c r="D53" s="87" t="s">
        <v>197</v>
      </c>
      <c r="E53" s="88">
        <f>'Forecasted Balance Sheet'!D28+'Forecasted Balance Sheet'!D49+'Forecasted Balance Sheet'!D42</f>
        <v>7563.75</v>
      </c>
      <c r="F53" s="88">
        <f>'Forecasted Balance Sheet'!F28+'Forecasted Balance Sheet'!F49+'Forecasted Balance Sheet'!F42</f>
        <v>7085.25</v>
      </c>
      <c r="G53" s="88">
        <f>'Forecasted Balance Sheet'!H28+'Forecasted Balance Sheet'!H49+'Forecasted Balance Sheet'!H42</f>
        <v>7085.25</v>
      </c>
      <c r="H53" s="121">
        <f>+E53-E54</f>
        <v>-3017.3667449260465</v>
      </c>
      <c r="I53" s="121">
        <f>+F53-F54</f>
        <v>-3226.376183051887</v>
      </c>
      <c r="J53" s="121">
        <f>+G53-G54</f>
        <v>-2980.1956650261964</v>
      </c>
      <c r="K53" s="122">
        <f>AVERAGE(H53:J53)</f>
        <v>-3074.6461976680434</v>
      </c>
      <c r="L53" s="123">
        <f>413150/1000</f>
        <v>413.15</v>
      </c>
    </row>
    <row r="54" spans="1:12" s="45" customFormat="1" x14ac:dyDescent="0.25">
      <c r="A54" s="62"/>
      <c r="B54" s="260" t="s">
        <v>198</v>
      </c>
      <c r="C54" s="260"/>
      <c r="D54" s="89" t="s">
        <v>199</v>
      </c>
      <c r="E54" s="131">
        <f>'Forecasted Balance Sheet'!D5+'Forecasted Balance Sheet'!D6+'Forecasted Balance Sheet'!D15+'Forecasted Balance Sheet'!D22</f>
        <v>10581.116744926047</v>
      </c>
      <c r="F54" s="131">
        <f>'Forecasted Balance Sheet'!F5+'Forecasted Balance Sheet'!F6+'Forecasted Balance Sheet'!F15+'Forecasted Balance Sheet'!F22</f>
        <v>10311.626183051887</v>
      </c>
      <c r="G54" s="131">
        <f>'Forecasted Balance Sheet'!H5+'Forecasted Balance Sheet'!H6+'Forecasted Balance Sheet'!H15+'Forecasted Balance Sheet'!H22</f>
        <v>10065.445665026196</v>
      </c>
      <c r="H54" s="63"/>
      <c r="I54" s="63"/>
      <c r="J54" s="63"/>
      <c r="L54" s="64"/>
    </row>
    <row r="55" spans="1:12" s="45" customFormat="1" x14ac:dyDescent="0.25">
      <c r="A55" s="62"/>
      <c r="B55" s="260"/>
      <c r="C55" s="260"/>
      <c r="D55" s="89"/>
      <c r="E55" s="90"/>
      <c r="F55" s="90"/>
      <c r="G55" s="90"/>
      <c r="H55" s="63"/>
      <c r="I55" s="63"/>
      <c r="J55" s="63"/>
      <c r="L55" s="64"/>
    </row>
    <row r="56" spans="1:12" s="45" customFormat="1" ht="12.75" thickBot="1" x14ac:dyDescent="0.3">
      <c r="B56" s="42"/>
      <c r="C56" s="43"/>
      <c r="D56" s="43"/>
      <c r="E56" s="44"/>
      <c r="F56" s="44"/>
      <c r="G56" s="44"/>
      <c r="H56" s="46"/>
      <c r="I56" s="46"/>
      <c r="J56" s="46"/>
      <c r="L56" s="47"/>
    </row>
    <row r="57" spans="1:12" s="45" customFormat="1" ht="12.75" thickBot="1" x14ac:dyDescent="0.3">
      <c r="A57" s="41" t="s">
        <v>200</v>
      </c>
      <c r="B57" s="91" t="s">
        <v>201</v>
      </c>
      <c r="C57" s="92" t="s">
        <v>202</v>
      </c>
      <c r="D57" s="93" t="s">
        <v>203</v>
      </c>
      <c r="E57" s="94">
        <f>AVERAGE(H53,I53)</f>
        <v>-3121.8714639889668</v>
      </c>
      <c r="F57" s="94">
        <f>AVERAGE(I53,J53)</f>
        <v>-3103.2859240390417</v>
      </c>
      <c r="G57" s="94">
        <f>AVERAGE(J53)</f>
        <v>-2980.1956650261964</v>
      </c>
      <c r="H57" s="95">
        <f>+E57/E58</f>
        <v>-0.21927874299283323</v>
      </c>
      <c r="I57" s="95">
        <f>+F57/F58</f>
        <v>-0.20436522384188618</v>
      </c>
      <c r="J57" s="95">
        <f>+G57/G58</f>
        <v>-0.19625918110149465</v>
      </c>
      <c r="K57" s="132">
        <f>AVERAGE(H57:J57)</f>
        <v>-0.20663438264540468</v>
      </c>
      <c r="L57" s="133">
        <v>1.2</v>
      </c>
    </row>
    <row r="58" spans="1:12" s="45" customFormat="1" x14ac:dyDescent="0.25">
      <c r="B58" s="261" t="s">
        <v>204</v>
      </c>
      <c r="C58" s="261"/>
      <c r="D58" s="43" t="s">
        <v>205</v>
      </c>
      <c r="E58" s="118">
        <f>AVERAGE('Forecasted Balance Sheet'!D$60,'Forecasted Balance Sheet'!B$60)</f>
        <v>14237</v>
      </c>
      <c r="F58" s="118">
        <f>AVERAGE('Forecasted Balance Sheet'!F$60,'Forecasted Balance Sheet'!D$60)</f>
        <v>15185</v>
      </c>
      <c r="G58" s="118">
        <f>AVERAGE('Forecasted Balance Sheet'!H$60,'Forecasted Balance Sheet'!F$60)</f>
        <v>15185</v>
      </c>
      <c r="H58" s="46"/>
      <c r="I58" s="46"/>
      <c r="J58" s="46"/>
      <c r="L58" s="47"/>
    </row>
    <row r="59" spans="1:12" s="45" customFormat="1" ht="12.75" thickBot="1" x14ac:dyDescent="0.3">
      <c r="B59" s="42"/>
      <c r="C59" s="43"/>
      <c r="D59" s="43"/>
      <c r="E59" s="44"/>
      <c r="F59" s="44"/>
      <c r="G59" s="44"/>
      <c r="H59" s="46"/>
      <c r="I59" s="46"/>
      <c r="J59" s="46"/>
      <c r="L59" s="47"/>
    </row>
    <row r="60" spans="1:12" s="45" customFormat="1" ht="24.75" thickBot="1" x14ac:dyDescent="0.3">
      <c r="A60" s="41" t="s">
        <v>206</v>
      </c>
      <c r="B60" s="91" t="s">
        <v>207</v>
      </c>
      <c r="C60" s="92" t="s">
        <v>208</v>
      </c>
      <c r="D60" s="43" t="s">
        <v>209</v>
      </c>
      <c r="E60" s="96">
        <f>+H41</f>
        <v>0.33640879018915232</v>
      </c>
      <c r="F60" s="96">
        <f>+I41</f>
        <v>0.32043764879745912</v>
      </c>
      <c r="G60" s="96">
        <f>+J41</f>
        <v>0.29902029970572874</v>
      </c>
      <c r="H60" s="68">
        <f>+E60-E61</f>
        <v>0.62977710734131565</v>
      </c>
      <c r="I60" s="68">
        <f>+F60-F61</f>
        <v>0.60408338003924611</v>
      </c>
      <c r="J60" s="68">
        <f>+G60-G61</f>
        <v>0.58346163124486283</v>
      </c>
      <c r="K60" s="60">
        <f>AVERAGE(H60:J60)</f>
        <v>0.6057740395418082</v>
      </c>
      <c r="L60" s="74">
        <v>0.28000000000000003</v>
      </c>
    </row>
    <row r="61" spans="1:12" s="45" customFormat="1" x14ac:dyDescent="0.25">
      <c r="B61" s="261" t="s">
        <v>210</v>
      </c>
      <c r="C61" s="261"/>
      <c r="D61" s="43" t="s">
        <v>211</v>
      </c>
      <c r="E61" s="97">
        <f>H50/E57</f>
        <v>-0.29336831715216333</v>
      </c>
      <c r="F61" s="97">
        <f>I50/F57</f>
        <v>-0.28364573124178699</v>
      </c>
      <c r="G61" s="97">
        <f>J50/G57</f>
        <v>-0.28444133153913415</v>
      </c>
      <c r="H61" s="83"/>
      <c r="I61" s="98"/>
      <c r="J61" s="98"/>
      <c r="L61" s="99"/>
    </row>
    <row r="62" spans="1:12" s="45" customFormat="1" ht="12.75" thickBot="1" x14ac:dyDescent="0.3">
      <c r="B62" s="42"/>
      <c r="C62" s="43"/>
      <c r="D62" s="43"/>
      <c r="E62" s="44"/>
      <c r="F62" s="44"/>
      <c r="G62" s="44"/>
      <c r="H62" s="46"/>
      <c r="I62" s="46"/>
      <c r="J62" s="46"/>
      <c r="L62" s="47"/>
    </row>
    <row r="63" spans="1:12" s="45" customFormat="1" ht="12.75" thickBot="1" x14ac:dyDescent="0.3">
      <c r="A63" s="41" t="s">
        <v>212</v>
      </c>
      <c r="B63" s="91" t="s">
        <v>213</v>
      </c>
      <c r="C63" s="92" t="s">
        <v>214</v>
      </c>
      <c r="D63" s="43" t="s">
        <v>215</v>
      </c>
      <c r="E63" s="134">
        <f>+H57</f>
        <v>-0.21927874299283323</v>
      </c>
      <c r="F63" s="134">
        <f>+I57</f>
        <v>-0.20436522384188618</v>
      </c>
      <c r="G63" s="134">
        <f>+J57</f>
        <v>-0.19625918110149465</v>
      </c>
      <c r="H63" s="68">
        <f>+E63*E64</f>
        <v>-0.13809673246346629</v>
      </c>
      <c r="I63" s="68">
        <f>+F63*F64</f>
        <v>-0.12345363518088373</v>
      </c>
      <c r="J63" s="68">
        <f>+G63*G64</f>
        <v>-0.11450970195225903</v>
      </c>
      <c r="K63" s="60">
        <f>AVERAGE(H63:J63)</f>
        <v>-0.125353356532203</v>
      </c>
      <c r="L63" s="74">
        <v>-0.10100000000000001</v>
      </c>
    </row>
    <row r="64" spans="1:12" s="45" customFormat="1" ht="24" x14ac:dyDescent="0.25">
      <c r="B64" s="42" t="s">
        <v>216</v>
      </c>
      <c r="C64" s="43"/>
      <c r="D64" s="43" t="s">
        <v>207</v>
      </c>
      <c r="E64" s="100">
        <f>+H60</f>
        <v>0.62977710734131565</v>
      </c>
      <c r="F64" s="100">
        <f>+I60</f>
        <v>0.60408338003924611</v>
      </c>
      <c r="G64" s="100">
        <f>+J60</f>
        <v>0.58346163124486283</v>
      </c>
      <c r="H64" s="46"/>
      <c r="I64" s="46"/>
      <c r="J64" s="46"/>
      <c r="L64" s="47"/>
    </row>
    <row r="65" spans="1:12" s="45" customFormat="1" ht="12.75" thickBot="1" x14ac:dyDescent="0.3">
      <c r="B65" s="42"/>
      <c r="C65" s="43"/>
      <c r="D65" s="43"/>
      <c r="E65" s="44"/>
      <c r="F65" s="44"/>
      <c r="G65" s="44"/>
      <c r="H65" s="46"/>
      <c r="I65" s="46"/>
      <c r="J65" s="46"/>
      <c r="L65" s="47"/>
    </row>
    <row r="66" spans="1:12" s="45" customFormat="1" ht="12.75" thickBot="1" x14ac:dyDescent="0.3">
      <c r="A66" s="41" t="s">
        <v>217</v>
      </c>
      <c r="B66" s="91" t="s">
        <v>218</v>
      </c>
      <c r="C66" s="92" t="s">
        <v>219</v>
      </c>
      <c r="D66" s="43" t="s">
        <v>220</v>
      </c>
      <c r="E66" s="118">
        <f>'Forecasted Balance Sheet'!D17</f>
        <v>11586.45960131098</v>
      </c>
      <c r="F66" s="118">
        <f>'Forecasted Balance Sheet'!F17</f>
        <v>10920.200652166692</v>
      </c>
      <c r="G66" s="118">
        <f>'Forecasted Balance Sheet'!H17</f>
        <v>10311.570902393922</v>
      </c>
      <c r="H66" s="121">
        <f>+E66-E67</f>
        <v>5500.2430453056322</v>
      </c>
      <c r="I66" s="121">
        <f>+F66-F67</f>
        <v>5490.0131651797965</v>
      </c>
      <c r="J66" s="121">
        <f>+G66-G67</f>
        <v>5030.4889819890486</v>
      </c>
      <c r="K66" s="122">
        <f>AVERAGE(H66:J66)</f>
        <v>5340.2483974914931</v>
      </c>
      <c r="L66" s="123">
        <f>827107.67/1000</f>
        <v>827.1076700000001</v>
      </c>
    </row>
    <row r="67" spans="1:12" s="45" customFormat="1" x14ac:dyDescent="0.25">
      <c r="B67" s="261" t="s">
        <v>221</v>
      </c>
      <c r="C67" s="261"/>
      <c r="D67" s="43" t="s">
        <v>222</v>
      </c>
      <c r="E67" s="118">
        <f>'Forecasted Balance Sheet'!D44</f>
        <v>6086.2165560053481</v>
      </c>
      <c r="F67" s="118">
        <f>'Forecasted Balance Sheet'!F44</f>
        <v>5430.1874869868952</v>
      </c>
      <c r="G67" s="118">
        <f>'Forecasted Balance Sheet'!H44</f>
        <v>5281.081920404873</v>
      </c>
      <c r="H67" s="101"/>
      <c r="I67" s="101"/>
      <c r="J67" s="101"/>
      <c r="L67" s="102"/>
    </row>
    <row r="68" spans="1:12" s="45" customFormat="1" x14ac:dyDescent="0.25">
      <c r="B68" s="42"/>
      <c r="C68" s="43"/>
      <c r="D68" s="43"/>
      <c r="E68" s="44"/>
      <c r="F68" s="44"/>
      <c r="G68" s="44"/>
      <c r="H68" s="101"/>
      <c r="I68" s="101"/>
      <c r="J68" s="101"/>
      <c r="L68" s="102"/>
    </row>
    <row r="69" spans="1:12" s="45" customFormat="1" ht="12.75" thickBot="1" x14ac:dyDescent="0.3">
      <c r="A69" s="41" t="s">
        <v>223</v>
      </c>
      <c r="B69" s="91" t="s">
        <v>224</v>
      </c>
      <c r="C69" s="43"/>
      <c r="D69" s="43"/>
      <c r="E69" s="44"/>
      <c r="F69" s="44"/>
      <c r="G69" s="44"/>
      <c r="H69" s="101"/>
      <c r="I69" s="101"/>
      <c r="J69" s="101"/>
      <c r="L69" s="102"/>
    </row>
    <row r="70" spans="1:12" s="45" customFormat="1" ht="24.75" thickBot="1" x14ac:dyDescent="0.3">
      <c r="B70" s="91" t="s">
        <v>225</v>
      </c>
      <c r="C70" s="103" t="s">
        <v>226</v>
      </c>
      <c r="D70" s="104" t="s">
        <v>227</v>
      </c>
      <c r="E70" s="135">
        <f>'Forecasted Income Statement'!D27-'Forecasted Income Statement'!D15</f>
        <v>2125.2501067535704</v>
      </c>
      <c r="F70" s="135">
        <f>'Forecasted Income Statement'!F27-'Forecasted Income Statement'!F15</f>
        <v>1941.4229892735832</v>
      </c>
      <c r="G70" s="135">
        <f>'Forecasted Income Statement'!H27-'Forecasted Income Statement'!H15</f>
        <v>1773.4963105295433</v>
      </c>
      <c r="H70" s="136">
        <f>+E70/E71</f>
        <v>12.057989673690313</v>
      </c>
      <c r="I70" s="136">
        <f>+F70/F71</f>
        <v>12.057989673690313</v>
      </c>
      <c r="J70" s="136">
        <f>+G70/G71</f>
        <v>12.057989673690312</v>
      </c>
      <c r="K70" s="119">
        <f>AVERAGE(H70:J70)</f>
        <v>12.057989673690313</v>
      </c>
      <c r="L70" s="120">
        <v>60.09</v>
      </c>
    </row>
    <row r="71" spans="1:12" s="45" customFormat="1" ht="24" x14ac:dyDescent="0.25">
      <c r="B71" s="42" t="s">
        <v>228</v>
      </c>
      <c r="C71" s="43"/>
      <c r="D71" s="43" t="s">
        <v>229</v>
      </c>
      <c r="E71" s="118">
        <f>-'Forecasted Income Statement'!D$15</f>
        <v>176.25244043712502</v>
      </c>
      <c r="F71" s="118">
        <f>-'Forecasted Income Statement'!F15</f>
        <v>161.00718625672999</v>
      </c>
      <c r="G71" s="118">
        <f>-'Forecasted Income Statement'!H15</f>
        <v>147.0805962290039</v>
      </c>
      <c r="H71" s="137"/>
      <c r="I71" s="137"/>
      <c r="J71" s="137"/>
      <c r="K71" s="105"/>
      <c r="L71" s="138"/>
    </row>
    <row r="72" spans="1:12" s="45" customFormat="1" ht="12.75" thickBot="1" x14ac:dyDescent="0.3">
      <c r="B72" s="42"/>
      <c r="C72" s="43"/>
      <c r="D72" s="43"/>
      <c r="E72" s="44"/>
      <c r="F72" s="44"/>
      <c r="G72" s="44"/>
      <c r="H72" s="137"/>
      <c r="I72" s="137"/>
      <c r="J72" s="137"/>
      <c r="K72" s="105"/>
      <c r="L72" s="138"/>
    </row>
    <row r="73" spans="1:12" s="45" customFormat="1" ht="36.75" thickBot="1" x14ac:dyDescent="0.3">
      <c r="B73" s="91" t="s">
        <v>230</v>
      </c>
      <c r="C73" s="92" t="s">
        <v>231</v>
      </c>
      <c r="D73" s="106" t="s">
        <v>232</v>
      </c>
      <c r="E73" s="107">
        <f>'Forecasted Income Statement'!D27-'Forecasted Income Statement'!D15+'Forecasted Cash Flow Statement'!D7</f>
        <v>2697.0001067535704</v>
      </c>
      <c r="F73" s="107">
        <f>'Forecasted Income Statement'!F27-'Forecasted Income Statement'!F15+'Forecasted Cash Flow Statement'!F7</f>
        <v>2513.172989273583</v>
      </c>
      <c r="G73" s="107">
        <f>'Forecasted Income Statement'!H27-'Forecasted Income Statement'!H15+'Forecasted Cash Flow Statement'!H7</f>
        <v>2345.2463105295433</v>
      </c>
      <c r="H73" s="136">
        <f>+E73/E74</f>
        <v>15.301916388021182</v>
      </c>
      <c r="I73" s="136">
        <f>+F73/F74</f>
        <v>15.609073406613451</v>
      </c>
      <c r="J73" s="136">
        <f>+G73/G74</f>
        <v>15.945314138365363</v>
      </c>
      <c r="K73" s="119">
        <f>AVERAGE(H73:J73)</f>
        <v>15.618767977666664</v>
      </c>
      <c r="L73" s="120" t="s">
        <v>233</v>
      </c>
    </row>
    <row r="74" spans="1:12" s="45" customFormat="1" x14ac:dyDescent="0.25">
      <c r="B74" s="261" t="s">
        <v>234</v>
      </c>
      <c r="C74" s="261"/>
      <c r="D74" s="43" t="s">
        <v>229</v>
      </c>
      <c r="E74" s="118">
        <f>-'Forecasted Income Statement'!D$15</f>
        <v>176.25244043712502</v>
      </c>
      <c r="F74" s="118">
        <f>-'Forecasted Income Statement'!F$15</f>
        <v>161.00718625672999</v>
      </c>
      <c r="G74" s="118">
        <f>-'Forecasted Income Statement'!H$15</f>
        <v>147.0805962290039</v>
      </c>
      <c r="H74" s="46"/>
      <c r="I74" s="46"/>
      <c r="J74" s="46"/>
      <c r="K74" s="105"/>
      <c r="L74" s="102"/>
    </row>
    <row r="75" spans="1:12" s="45" customFormat="1" ht="12.75" thickBot="1" x14ac:dyDescent="0.3">
      <c r="B75" s="42"/>
      <c r="C75" s="43"/>
      <c r="D75" s="43"/>
      <c r="E75" s="44"/>
      <c r="F75" s="44"/>
      <c r="G75" s="44"/>
      <c r="H75" s="46"/>
      <c r="I75" s="46"/>
      <c r="J75" s="46"/>
      <c r="K75" s="105"/>
      <c r="L75" s="102"/>
    </row>
    <row r="76" spans="1:12" s="45" customFormat="1" ht="24.75" thickBot="1" x14ac:dyDescent="0.3">
      <c r="B76" s="91" t="s">
        <v>235</v>
      </c>
      <c r="C76" s="43" t="s">
        <v>236</v>
      </c>
      <c r="D76" s="93" t="s">
        <v>237</v>
      </c>
      <c r="E76" s="139">
        <f>'Forecasted Cash Flow Statement'!D22</f>
        <v>2703.7983664215117</v>
      </c>
      <c r="F76" s="139">
        <f>'Forecasted Cash Flow Statement'!F22</f>
        <v>2585.7910621117971</v>
      </c>
      <c r="G76" s="139">
        <f>'Forecasted Cash Flow Statement'!H22</f>
        <v>2477.9910000103773</v>
      </c>
      <c r="H76" s="108">
        <f>+E76/E77</f>
        <v>0.35746797110183592</v>
      </c>
      <c r="I76" s="108">
        <f>+F76/F77</f>
        <v>0.3649541035407074</v>
      </c>
      <c r="J76" s="108">
        <f>+G76/G77</f>
        <v>0.34973938816701983</v>
      </c>
      <c r="K76" s="119">
        <f>AVERAGE(H76:J76)</f>
        <v>0.3573871542698544</v>
      </c>
      <c r="L76" s="140">
        <v>2.1</v>
      </c>
    </row>
    <row r="77" spans="1:12" s="45" customFormat="1" x14ac:dyDescent="0.25">
      <c r="B77" s="261" t="s">
        <v>238</v>
      </c>
      <c r="C77" s="261"/>
      <c r="D77" s="43" t="s">
        <v>239</v>
      </c>
      <c r="E77" s="118">
        <f>'Forecasted Balance Sheet'!D28+'Forecasted Balance Sheet'!D49</f>
        <v>7563.75</v>
      </c>
      <c r="F77" s="118">
        <f>'Forecasted Balance Sheet'!F28+'Forecasted Balance Sheet'!F49</f>
        <v>7085.25</v>
      </c>
      <c r="G77" s="118">
        <f>'Forecasted Balance Sheet'!H28+'Forecasted Balance Sheet'!H49</f>
        <v>7085.25</v>
      </c>
      <c r="H77" s="46"/>
      <c r="I77" s="46"/>
      <c r="J77" s="46"/>
      <c r="K77" s="105"/>
      <c r="L77" s="102"/>
    </row>
    <row r="78" spans="1:12" s="45" customFormat="1" ht="12.75" thickBot="1" x14ac:dyDescent="0.3">
      <c r="B78" s="42"/>
      <c r="C78" s="43"/>
      <c r="D78" s="43"/>
      <c r="E78" s="44"/>
      <c r="F78" s="44"/>
      <c r="G78" s="44"/>
      <c r="H78" s="46"/>
      <c r="I78" s="46"/>
      <c r="J78" s="46"/>
      <c r="K78" s="105"/>
      <c r="L78" s="102"/>
    </row>
    <row r="79" spans="1:12" s="45" customFormat="1" ht="12.75" thickBot="1" x14ac:dyDescent="0.3">
      <c r="B79" s="91" t="s">
        <v>240</v>
      </c>
      <c r="C79" s="92" t="s">
        <v>241</v>
      </c>
      <c r="D79" s="93" t="s">
        <v>14</v>
      </c>
      <c r="E79" s="139">
        <f>'Forecasted Balance Sheet'!D17</f>
        <v>11586.45960131098</v>
      </c>
      <c r="F79" s="139">
        <f>'Forecasted Balance Sheet'!F17</f>
        <v>10920.200652166692</v>
      </c>
      <c r="G79" s="139">
        <f>'Forecasted Balance Sheet'!H17</f>
        <v>10311.570902393922</v>
      </c>
      <c r="H79" s="108">
        <f>+E79/E80</f>
        <v>1.9037212190352431</v>
      </c>
      <c r="I79" s="108">
        <f>+F79/F80</f>
        <v>2.0110172398902009</v>
      </c>
      <c r="J79" s="108">
        <f>+G79/G80</f>
        <v>1.9525489393664599</v>
      </c>
      <c r="K79" s="119">
        <f>AVERAGE(H79:J79)</f>
        <v>1.9557624660973012</v>
      </c>
      <c r="L79" s="140">
        <v>3.3</v>
      </c>
    </row>
    <row r="80" spans="1:12" s="45" customFormat="1" x14ac:dyDescent="0.25">
      <c r="B80" s="261" t="s">
        <v>242</v>
      </c>
      <c r="C80" s="261"/>
      <c r="D80" s="43" t="s">
        <v>243</v>
      </c>
      <c r="E80" s="118">
        <f>'Forecasted Balance Sheet'!D44</f>
        <v>6086.2165560053481</v>
      </c>
      <c r="F80" s="118">
        <f>'Forecasted Balance Sheet'!F44</f>
        <v>5430.1874869868952</v>
      </c>
      <c r="G80" s="118">
        <f>'Forecasted Balance Sheet'!H44</f>
        <v>5281.081920404873</v>
      </c>
      <c r="H80" s="46"/>
      <c r="I80" s="46"/>
      <c r="J80" s="46"/>
      <c r="K80" s="105"/>
      <c r="L80" s="102"/>
    </row>
    <row r="81" spans="1:12" s="45" customFormat="1" ht="12.75" thickBot="1" x14ac:dyDescent="0.3">
      <c r="B81" s="42"/>
      <c r="C81" s="43"/>
      <c r="D81" s="43"/>
      <c r="E81" s="44"/>
      <c r="F81" s="44"/>
      <c r="G81" s="44"/>
      <c r="H81" s="46"/>
      <c r="I81" s="46"/>
      <c r="J81" s="46"/>
      <c r="K81" s="105"/>
      <c r="L81" s="102"/>
    </row>
    <row r="82" spans="1:12" s="45" customFormat="1" ht="24.75" thickBot="1" x14ac:dyDescent="0.3">
      <c r="B82" s="91" t="s">
        <v>244</v>
      </c>
      <c r="C82" s="92" t="s">
        <v>245</v>
      </c>
      <c r="D82" s="106" t="s">
        <v>246</v>
      </c>
      <c r="E82" s="141">
        <f>'Forecasted Balance Sheet'!D5+'Forecasted Balance Sheet'!D6+'Forecasted Balance Sheet'!D11</f>
        <v>7822.2880765131813</v>
      </c>
      <c r="F82" s="141">
        <f>'Forecasted Balance Sheet'!F5+'Forecasted Balance Sheet'!F6+'Forecasted Balance Sheet'!F11</f>
        <v>7272.4252713767855</v>
      </c>
      <c r="G82" s="141">
        <f>'Forecasted Balance Sheet'!H5+'Forecasted Balance Sheet'!H6+'Forecasted Balance Sheet'!H11</f>
        <v>6770.1237834502926</v>
      </c>
      <c r="H82" s="108">
        <f>+E82/E83</f>
        <v>1.2852464260074397</v>
      </c>
      <c r="I82" s="108">
        <f>+F82/F83</f>
        <v>1.339258596283222</v>
      </c>
      <c r="J82" s="108">
        <f>+G82/G83</f>
        <v>1.2819577286411914</v>
      </c>
      <c r="K82" s="119">
        <f>AVERAGE(H82:J82)</f>
        <v>1.3021542503106176</v>
      </c>
      <c r="L82" s="120">
        <v>0.64</v>
      </c>
    </row>
    <row r="83" spans="1:12" s="45" customFormat="1" x14ac:dyDescent="0.25">
      <c r="B83" s="261" t="s">
        <v>247</v>
      </c>
      <c r="C83" s="261"/>
      <c r="D83" s="43" t="s">
        <v>38</v>
      </c>
      <c r="E83" s="118">
        <f>'Forecasted Balance Sheet'!D44</f>
        <v>6086.2165560053481</v>
      </c>
      <c r="F83" s="118">
        <f>'Forecasted Balance Sheet'!F44</f>
        <v>5430.1874869868952</v>
      </c>
      <c r="G83" s="118">
        <f>'Forecasted Balance Sheet'!H44</f>
        <v>5281.081920404873</v>
      </c>
      <c r="H83" s="46"/>
      <c r="I83" s="46"/>
      <c r="J83" s="46"/>
      <c r="K83" s="105"/>
      <c r="L83" s="102"/>
    </row>
    <row r="84" spans="1:12" s="45" customFormat="1" ht="12.75" thickBot="1" x14ac:dyDescent="0.3">
      <c r="B84" s="42"/>
      <c r="C84" s="43"/>
      <c r="D84" s="43"/>
      <c r="E84" s="44"/>
      <c r="F84" s="44"/>
      <c r="G84" s="44"/>
      <c r="H84" s="46"/>
      <c r="I84" s="46"/>
      <c r="J84" s="46"/>
      <c r="K84" s="105"/>
      <c r="L84" s="102"/>
    </row>
    <row r="85" spans="1:12" s="45" customFormat="1" ht="24.75" thickBot="1" x14ac:dyDescent="0.3">
      <c r="B85" s="91" t="s">
        <v>248</v>
      </c>
      <c r="C85" s="92" t="s">
        <v>249</v>
      </c>
      <c r="D85" s="106" t="s">
        <v>250</v>
      </c>
      <c r="E85" s="141">
        <f>'Forecasted Balance Sheet'!D28+'Forecasted Balance Sheet'!D49</f>
        <v>7563.75</v>
      </c>
      <c r="F85" s="141">
        <f>'Forecasted Balance Sheet'!F28+'Forecasted Balance Sheet'!F49</f>
        <v>7085.25</v>
      </c>
      <c r="G85" s="141">
        <f>'Forecasted Balance Sheet'!H28+'Forecasted Balance Sheet'!H49</f>
        <v>7085.25</v>
      </c>
      <c r="H85" s="108">
        <f>+E85/E86</f>
        <v>0.49810668422785642</v>
      </c>
      <c r="I85" s="108">
        <f>+F85/F86</f>
        <v>0.46659532433322359</v>
      </c>
      <c r="J85" s="108">
        <f>+G85/G86</f>
        <v>0.46659532433322359</v>
      </c>
      <c r="K85" s="119">
        <f>AVERAGE(H85:J85)</f>
        <v>0.47709911096476781</v>
      </c>
      <c r="L85" s="120">
        <v>0.6</v>
      </c>
    </row>
    <row r="86" spans="1:12" s="45" customFormat="1" x14ac:dyDescent="0.25">
      <c r="B86" s="261" t="s">
        <v>251</v>
      </c>
      <c r="C86" s="261"/>
      <c r="D86" s="43" t="s">
        <v>252</v>
      </c>
      <c r="E86" s="118">
        <f>'Forecasted Balance Sheet'!D60</f>
        <v>15185</v>
      </c>
      <c r="F86" s="118">
        <f>'Forecasted Balance Sheet'!F60</f>
        <v>15185</v>
      </c>
      <c r="G86" s="118">
        <f>'Forecasted Balance Sheet'!H60</f>
        <v>15185</v>
      </c>
      <c r="H86" s="46"/>
      <c r="I86" s="46"/>
      <c r="J86" s="46"/>
      <c r="K86" s="105"/>
      <c r="L86" s="102"/>
    </row>
    <row r="87" spans="1:12" s="45" customFormat="1" ht="12.75" thickBot="1" x14ac:dyDescent="0.3">
      <c r="B87" s="42"/>
      <c r="C87" s="43"/>
      <c r="D87" s="43"/>
      <c r="E87" s="44"/>
      <c r="F87" s="44"/>
      <c r="G87" s="44"/>
      <c r="H87" s="46"/>
      <c r="I87" s="46"/>
      <c r="J87" s="46"/>
      <c r="K87" s="105"/>
      <c r="L87" s="102"/>
    </row>
    <row r="88" spans="1:12" s="45" customFormat="1" ht="12.75" thickBot="1" x14ac:dyDescent="0.3">
      <c r="A88" s="41" t="s">
        <v>253</v>
      </c>
      <c r="B88" s="91" t="s">
        <v>254</v>
      </c>
      <c r="C88" s="43" t="s">
        <v>255</v>
      </c>
      <c r="D88" s="93" t="s">
        <v>131</v>
      </c>
      <c r="E88" s="69">
        <f>'Forecasted Income Statement'!D$8</f>
        <v>14809.715525756179</v>
      </c>
      <c r="F88" s="69">
        <f>'Forecasted Income Statement'!F$8</f>
        <v>13528.724028733261</v>
      </c>
      <c r="G88" s="69">
        <f>'Forecasted Income Statement'!H$8</f>
        <v>12358.534066864153</v>
      </c>
      <c r="H88" s="108">
        <f>+E88/E89</f>
        <v>3.9280870058859105</v>
      </c>
      <c r="I88" s="108">
        <f>+F88/F89</f>
        <v>4.3623663194914934</v>
      </c>
      <c r="J88" s="108">
        <f>+G88/G89</f>
        <v>4.3623663194914943</v>
      </c>
      <c r="K88" s="119">
        <f>AVERAGE(H88:J88)</f>
        <v>4.2176065482896332</v>
      </c>
      <c r="L88" s="120">
        <v>0.55000000000000004</v>
      </c>
    </row>
    <row r="89" spans="1:12" s="45" customFormat="1" x14ac:dyDescent="0.25">
      <c r="B89" s="261" t="s">
        <v>256</v>
      </c>
      <c r="C89" s="261"/>
      <c r="D89" s="43" t="s">
        <v>257</v>
      </c>
      <c r="E89" s="118">
        <f>AVERAGE('Forecasted Balance Sheet'!B11,'Forecasted Balance Sheet'!D11)</f>
        <v>3770.2106657935674</v>
      </c>
      <c r="F89" s="118">
        <f>AVERAGE('Forecasted Balance Sheet'!D11,'Forecasted Balance Sheet'!F11)</f>
        <v>3101.2352099560171</v>
      </c>
      <c r="G89" s="118">
        <f>AVERAGE('Forecasted Balance Sheet'!F11,'Forecasted Balance Sheet'!H11)</f>
        <v>2832.988603374497</v>
      </c>
      <c r="H89" s="46"/>
      <c r="I89" s="46"/>
      <c r="J89" s="46"/>
      <c r="K89" s="105"/>
      <c r="L89" s="102"/>
    </row>
    <row r="90" spans="1:12" s="45" customFormat="1" ht="12.75" thickBot="1" x14ac:dyDescent="0.3">
      <c r="B90" s="42"/>
      <c r="C90" s="43"/>
      <c r="D90" s="43"/>
      <c r="E90" s="44"/>
      <c r="F90" s="44"/>
      <c r="G90" s="44"/>
      <c r="H90" s="46"/>
      <c r="I90" s="46"/>
      <c r="J90" s="46"/>
      <c r="K90" s="105"/>
      <c r="L90" s="102"/>
    </row>
    <row r="91" spans="1:12" s="45" customFormat="1" ht="12.75" thickBot="1" x14ac:dyDescent="0.3">
      <c r="A91" s="41" t="s">
        <v>258</v>
      </c>
      <c r="B91" s="91" t="s">
        <v>259</v>
      </c>
      <c r="C91" s="43" t="s">
        <v>260</v>
      </c>
      <c r="D91" s="93" t="s">
        <v>261</v>
      </c>
      <c r="E91" s="109">
        <f>+E89</f>
        <v>3770.2106657935674</v>
      </c>
      <c r="F91" s="109">
        <f>+F89</f>
        <v>3101.2352099560171</v>
      </c>
      <c r="G91" s="109">
        <f>+G89</f>
        <v>2832.988603374497</v>
      </c>
      <c r="H91" s="108">
        <f>+E91/E92</f>
        <v>92.920548718263618</v>
      </c>
      <c r="I91" s="108">
        <f>+F91/F92</f>
        <v>83.670185690079052</v>
      </c>
      <c r="J91" s="108">
        <f>+G91/G92</f>
        <v>83.670185690079052</v>
      </c>
      <c r="K91" s="119">
        <f>AVERAGE(H91:J91)</f>
        <v>86.75364003280724</v>
      </c>
      <c r="L91" s="140">
        <v>34.200000000000003</v>
      </c>
    </row>
    <row r="92" spans="1:12" s="45" customFormat="1" x14ac:dyDescent="0.25">
      <c r="B92" s="261" t="s">
        <v>262</v>
      </c>
      <c r="C92" s="261"/>
      <c r="D92" s="43" t="s">
        <v>263</v>
      </c>
      <c r="E92" s="142">
        <f>+E88/365</f>
        <v>40.574563084263502</v>
      </c>
      <c r="F92" s="142">
        <f>+F88/365</f>
        <v>37.064997338995234</v>
      </c>
      <c r="G92" s="142">
        <f>+G88/365</f>
        <v>33.85899744346343</v>
      </c>
      <c r="H92" s="46"/>
      <c r="I92" s="46"/>
      <c r="J92" s="46"/>
      <c r="K92" s="105"/>
      <c r="L92" s="102"/>
    </row>
    <row r="93" spans="1:12" s="45" customFormat="1" ht="12.75" thickBot="1" x14ac:dyDescent="0.3">
      <c r="B93" s="42"/>
      <c r="C93" s="43"/>
      <c r="D93" s="43"/>
      <c r="E93" s="44"/>
      <c r="F93" s="44"/>
      <c r="G93" s="44"/>
      <c r="H93" s="46"/>
      <c r="I93" s="46"/>
      <c r="J93" s="46"/>
      <c r="K93" s="105"/>
      <c r="L93" s="102"/>
    </row>
    <row r="94" spans="1:12" s="45" customFormat="1" ht="12.75" thickBot="1" x14ac:dyDescent="0.3">
      <c r="A94" s="41" t="s">
        <v>264</v>
      </c>
      <c r="B94" s="91" t="s">
        <v>265</v>
      </c>
      <c r="C94" s="43" t="s">
        <v>266</v>
      </c>
      <c r="D94" s="93" t="s">
        <v>267</v>
      </c>
      <c r="E94" s="113">
        <f>-'Forecasted Income Statement'!D9</f>
        <v>3898.2650767811137</v>
      </c>
      <c r="F94" s="113">
        <f>-'Forecasted Income Statement'!F9</f>
        <v>3561.0780182036997</v>
      </c>
      <c r="G94" s="113">
        <f>-'Forecasted Income Statement'!H9</f>
        <v>3253.056526931925</v>
      </c>
      <c r="H94" s="108">
        <f>+E94/E95</f>
        <v>2.2151312659093927</v>
      </c>
      <c r="I94" s="108">
        <f>+F94/F95</f>
        <v>1.9041840014252942</v>
      </c>
      <c r="J94" s="108">
        <f>+G94/G95</f>
        <v>1.904184001425294</v>
      </c>
      <c r="K94" s="119">
        <f>AVERAGE(H94:J94)</f>
        <v>2.0078330895866601</v>
      </c>
      <c r="L94" s="140">
        <v>8</v>
      </c>
    </row>
    <row r="95" spans="1:12" s="45" customFormat="1" x14ac:dyDescent="0.25">
      <c r="B95" s="261" t="s">
        <v>268</v>
      </c>
      <c r="C95" s="261"/>
      <c r="D95" s="43" t="s">
        <v>269</v>
      </c>
      <c r="E95" s="118">
        <f>AVERAGE('Forecasted Balance Sheet'!B29,'Forecasted Balance Sheet'!D29)</f>
        <v>1759.8347947929547</v>
      </c>
      <c r="F95" s="118">
        <f>AVERAGE('Forecasted Balance Sheet'!D29,'Forecasted Balance Sheet'!F29)</f>
        <v>1870.1333566179578</v>
      </c>
      <c r="G95" s="118">
        <f>AVERAGE('Forecasted Balance Sheet'!F29,'Forecasted Balance Sheet'!H29)</f>
        <v>1708.3729957278242</v>
      </c>
      <c r="H95" s="46"/>
      <c r="I95" s="46"/>
      <c r="J95" s="46"/>
      <c r="K95" s="105"/>
      <c r="L95" s="102"/>
    </row>
    <row r="96" spans="1:12" s="45" customFormat="1" ht="12.75" thickBot="1" x14ac:dyDescent="0.3">
      <c r="B96" s="42"/>
      <c r="C96" s="43"/>
      <c r="D96" s="43"/>
      <c r="E96" s="44"/>
      <c r="F96" s="44"/>
      <c r="G96" s="44"/>
      <c r="H96" s="46"/>
      <c r="I96" s="46"/>
      <c r="J96" s="46"/>
      <c r="K96" s="105"/>
      <c r="L96" s="102"/>
    </row>
    <row r="97" spans="1:12" s="45" customFormat="1" ht="12.75" thickBot="1" x14ac:dyDescent="0.3">
      <c r="A97" s="41" t="s">
        <v>270</v>
      </c>
      <c r="B97" s="91" t="s">
        <v>271</v>
      </c>
      <c r="C97" s="92" t="s">
        <v>272</v>
      </c>
      <c r="D97" s="93" t="s">
        <v>273</v>
      </c>
      <c r="E97" s="113">
        <f>'Forecasted Balance Sheet'!D29</f>
        <v>1954.6695895859091</v>
      </c>
      <c r="F97" s="113">
        <f>'Forecasted Balance Sheet'!F29</f>
        <v>1785.5971236500063</v>
      </c>
      <c r="G97" s="113">
        <f>'Forecasted Balance Sheet'!H29</f>
        <v>1631.1488678056421</v>
      </c>
      <c r="H97" s="108">
        <f>+E97/E98</f>
        <v>183.01844183155762</v>
      </c>
      <c r="I97" s="108">
        <f>+F97/F98</f>
        <v>183.01844183155762</v>
      </c>
      <c r="J97" s="108">
        <f>+G97/G98</f>
        <v>183.01844183155762</v>
      </c>
      <c r="K97" s="119">
        <f>AVERAGE(H97:J97)</f>
        <v>183.01844183155762</v>
      </c>
      <c r="L97" s="140">
        <v>51.4</v>
      </c>
    </row>
    <row r="98" spans="1:12" s="45" customFormat="1" x14ac:dyDescent="0.25">
      <c r="B98" s="261" t="s">
        <v>274</v>
      </c>
      <c r="C98" s="261"/>
      <c r="D98" s="43" t="s">
        <v>275</v>
      </c>
      <c r="E98" s="142">
        <f>-'Forecasted Income Statement'!D9/365</f>
        <v>10.680178292550996</v>
      </c>
      <c r="F98" s="142">
        <f>-'Forecasted Income Statement'!F9/365</f>
        <v>9.7563781320649312</v>
      </c>
      <c r="G98" s="142">
        <f>-'Forecasted Income Statement'!H9/365</f>
        <v>8.9124836354299308</v>
      </c>
      <c r="H98" s="46"/>
      <c r="I98" s="46"/>
      <c r="J98" s="46"/>
      <c r="L98" s="47"/>
    </row>
    <row r="99" spans="1:12" s="45" customFormat="1" ht="12.75" thickBot="1" x14ac:dyDescent="0.3">
      <c r="B99" s="42"/>
      <c r="C99" s="43"/>
      <c r="D99" s="43"/>
      <c r="E99" s="44"/>
      <c r="F99" s="44"/>
      <c r="G99" s="44"/>
      <c r="H99" s="46"/>
      <c r="I99" s="46"/>
      <c r="J99" s="46"/>
      <c r="L99" s="47"/>
    </row>
    <row r="100" spans="1:12" s="45" customFormat="1" ht="24.75" thickBot="1" x14ac:dyDescent="0.3">
      <c r="A100" s="41" t="s">
        <v>276</v>
      </c>
      <c r="B100" s="91" t="s">
        <v>277</v>
      </c>
      <c r="C100" s="103" t="s">
        <v>278</v>
      </c>
      <c r="D100" s="92" t="s">
        <v>279</v>
      </c>
      <c r="E100" s="131">
        <f>'Forecasted Cash Flow Statement'!D22</f>
        <v>2703.7983664215117</v>
      </c>
      <c r="F100" s="131">
        <f>'Forecasted Cash Flow Statement'!F22</f>
        <v>2585.7910621117971</v>
      </c>
      <c r="G100" s="131">
        <f>'Forecasted Cash Flow Statement'!H22</f>
        <v>2477.9910000103773</v>
      </c>
      <c r="H100" s="121">
        <f>+E100-E101-E102</f>
        <v>-912.83631091220468</v>
      </c>
      <c r="I100" s="121">
        <f>+F100-F101-F102</f>
        <v>-1030.8436152219192</v>
      </c>
      <c r="J100" s="121">
        <f>+G100-G101-G102</f>
        <v>-1138.6436773233388</v>
      </c>
      <c r="K100" s="122">
        <f>AVERAGE(H100:J100)</f>
        <v>-1027.4412011524876</v>
      </c>
      <c r="L100" s="123">
        <f>79688/1000</f>
        <v>79.688000000000002</v>
      </c>
    </row>
    <row r="101" spans="1:12" s="45" customFormat="1" x14ac:dyDescent="0.25">
      <c r="B101" s="261" t="s">
        <v>280</v>
      </c>
      <c r="C101" s="261"/>
      <c r="D101" s="92" t="s">
        <v>281</v>
      </c>
      <c r="E101" s="131">
        <f>-'Forecasted Cash Flow Statement'!D25</f>
        <v>530.74825830181248</v>
      </c>
      <c r="F101" s="131">
        <f>-'Forecasted Cash Flow Statement'!F25</f>
        <v>530.74825830181248</v>
      </c>
      <c r="G101" s="131">
        <f>-'Forecasted Cash Flow Statement'!H25</f>
        <v>530.74825830181248</v>
      </c>
      <c r="H101" s="46"/>
      <c r="I101" s="46"/>
      <c r="J101" s="46"/>
      <c r="L101" s="47"/>
    </row>
    <row r="102" spans="1:12" s="45" customFormat="1" x14ac:dyDescent="0.25">
      <c r="B102" s="261"/>
      <c r="C102" s="261"/>
      <c r="D102" s="103" t="s">
        <v>282</v>
      </c>
      <c r="E102" s="143">
        <f>-'Forecasted Cash Flow Statement'!D35</f>
        <v>3085.8864190319036</v>
      </c>
      <c r="F102" s="143">
        <f>-'Forecasted Cash Flow Statement'!F35</f>
        <v>3085.8864190319036</v>
      </c>
      <c r="G102" s="143">
        <f>-'Forecasted Cash Flow Statement'!H35</f>
        <v>3085.8864190319036</v>
      </c>
      <c r="H102" s="46"/>
      <c r="I102" s="46"/>
      <c r="J102" s="46"/>
      <c r="L102" s="47"/>
    </row>
  </sheetData>
  <mergeCells count="26">
    <mergeCell ref="B98:C98"/>
    <mergeCell ref="B101:C102"/>
    <mergeCell ref="B80:C80"/>
    <mergeCell ref="B83:C83"/>
    <mergeCell ref="B86:C86"/>
    <mergeCell ref="B89:C89"/>
    <mergeCell ref="B92:C92"/>
    <mergeCell ref="B95:C95"/>
    <mergeCell ref="B77:C77"/>
    <mergeCell ref="B30:C30"/>
    <mergeCell ref="B33:C33"/>
    <mergeCell ref="B39:C39"/>
    <mergeCell ref="B45:C45"/>
    <mergeCell ref="B48:C48"/>
    <mergeCell ref="B51:C51"/>
    <mergeCell ref="B54:C55"/>
    <mergeCell ref="B58:C58"/>
    <mergeCell ref="B61:C61"/>
    <mergeCell ref="B67:C67"/>
    <mergeCell ref="B74:C74"/>
    <mergeCell ref="B23:C23"/>
    <mergeCell ref="B6:C6"/>
    <mergeCell ref="B10:C10"/>
    <mergeCell ref="B14:C14"/>
    <mergeCell ref="B17:C17"/>
    <mergeCell ref="B20:C20"/>
  </mergeCells>
  <pageMargins left="0.7" right="0.7" top="0.75" bottom="0.75" header="0.3" footer="0.3"/>
  <pageSetup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L7" sqref="L7"/>
    </sheetView>
  </sheetViews>
  <sheetFormatPr defaultRowHeight="15" x14ac:dyDescent="0.25"/>
  <cols>
    <col min="12" max="12" width="57.140625" customWidth="1"/>
  </cols>
  <sheetData>
    <row r="1" spans="1:13" x14ac:dyDescent="0.25">
      <c r="A1" s="146" t="s">
        <v>283</v>
      </c>
      <c r="B1" s="146" t="s">
        <v>284</v>
      </c>
    </row>
    <row r="3" spans="1:13" x14ac:dyDescent="0.25">
      <c r="A3" s="147" t="s">
        <v>285</v>
      </c>
      <c r="B3" s="148" t="s">
        <v>286</v>
      </c>
      <c r="C3" s="148" t="s">
        <v>287</v>
      </c>
      <c r="D3" s="148"/>
      <c r="E3" s="148"/>
      <c r="F3" s="148"/>
      <c r="G3" s="148"/>
      <c r="H3" s="148"/>
    </row>
    <row r="5" spans="1:13" x14ac:dyDescent="0.25">
      <c r="B5" t="s">
        <v>288</v>
      </c>
      <c r="H5" s="149">
        <v>176</v>
      </c>
    </row>
    <row r="6" spans="1:13" x14ac:dyDescent="0.25">
      <c r="B6" t="s">
        <v>289</v>
      </c>
      <c r="H6" s="149">
        <f>('Forecasted Balance Sheet'!D28+'Forecasted Balance Sheet'!D49+'Forecasted Balance Sheet'!B49+'Forecasted Balance Sheet'!B28)/4</f>
        <v>3563.1875</v>
      </c>
    </row>
    <row r="8" spans="1:13" x14ac:dyDescent="0.25">
      <c r="B8" t="s">
        <v>290</v>
      </c>
      <c r="H8" s="150">
        <f>H5/H6</f>
        <v>4.939397660100682E-2</v>
      </c>
    </row>
    <row r="10" spans="1:13" x14ac:dyDescent="0.25">
      <c r="B10" t="s">
        <v>291</v>
      </c>
      <c r="H10" s="150">
        <f>'Forecasted Income Statement'!E28</f>
        <v>0.3</v>
      </c>
    </row>
    <row r="11" spans="1:13" ht="15.75" thickBot="1" x14ac:dyDescent="0.3"/>
    <row r="12" spans="1:13" ht="15.75" thickBot="1" x14ac:dyDescent="0.3">
      <c r="B12" s="151" t="s">
        <v>323</v>
      </c>
      <c r="H12" s="152">
        <f>H8*(1-H10)</f>
        <v>3.4575783620704771E-2</v>
      </c>
    </row>
    <row r="13" spans="1:13" ht="15.75" thickBot="1" x14ac:dyDescent="0.3">
      <c r="L13" s="168" t="s">
        <v>318</v>
      </c>
    </row>
    <row r="14" spans="1:13" x14ac:dyDescent="0.25">
      <c r="A14" s="148"/>
      <c r="B14" s="148" t="s">
        <v>292</v>
      </c>
      <c r="C14" s="148"/>
      <c r="D14" s="148"/>
      <c r="E14" s="148"/>
      <c r="F14" s="148"/>
      <c r="G14" s="148"/>
      <c r="H14" s="148"/>
      <c r="L14" s="257"/>
    </row>
    <row r="15" spans="1:13" ht="15.75" thickBot="1" x14ac:dyDescent="0.3">
      <c r="L15" s="170" t="s">
        <v>319</v>
      </c>
    </row>
    <row r="16" spans="1:13" ht="15.75" thickBot="1" x14ac:dyDescent="0.3">
      <c r="B16" t="s">
        <v>293</v>
      </c>
      <c r="L16" s="170" t="s">
        <v>496</v>
      </c>
      <c r="M16" s="171">
        <v>1.08</v>
      </c>
    </row>
    <row r="17" spans="1:13" x14ac:dyDescent="0.25">
      <c r="B17" t="s">
        <v>320</v>
      </c>
      <c r="H17" s="28">
        <v>1.08</v>
      </c>
      <c r="L17" s="262" t="s">
        <v>321</v>
      </c>
    </row>
    <row r="18" spans="1:13" ht="15.75" thickBot="1" x14ac:dyDescent="0.3">
      <c r="B18" t="s">
        <v>294</v>
      </c>
      <c r="H18" s="153">
        <f>M20</f>
        <v>0.10009999999999999</v>
      </c>
      <c r="L18" s="262"/>
    </row>
    <row r="19" spans="1:13" ht="15.75" thickBot="1" x14ac:dyDescent="0.3">
      <c r="B19" t="s">
        <v>295</v>
      </c>
      <c r="H19" s="154">
        <f>M19</f>
        <v>2.53E-2</v>
      </c>
      <c r="L19" s="169" t="s">
        <v>495</v>
      </c>
      <c r="M19" s="172">
        <v>2.53E-2</v>
      </c>
    </row>
    <row r="20" spans="1:13" ht="15.75" thickBot="1" x14ac:dyDescent="0.3">
      <c r="L20" s="258" t="s">
        <v>322</v>
      </c>
      <c r="M20" s="259">
        <v>0.10009999999999999</v>
      </c>
    </row>
    <row r="21" spans="1:13" ht="15.75" thickBot="1" x14ac:dyDescent="0.3"/>
    <row r="22" spans="1:13" ht="15.75" thickBot="1" x14ac:dyDescent="0.3">
      <c r="B22" s="151" t="s">
        <v>497</v>
      </c>
      <c r="H22" s="155">
        <f>H19+(H17*(H18-H19))</f>
        <v>0.106084</v>
      </c>
    </row>
    <row r="24" spans="1:13" x14ac:dyDescent="0.25">
      <c r="A24" s="148"/>
      <c r="B24" s="148" t="s">
        <v>296</v>
      </c>
      <c r="C24" s="148"/>
      <c r="D24" s="148"/>
      <c r="E24" s="148"/>
      <c r="F24" s="148"/>
      <c r="G24" s="148"/>
      <c r="H24" s="148"/>
    </row>
    <row r="26" spans="1:13" x14ac:dyDescent="0.25">
      <c r="B26" t="s">
        <v>297</v>
      </c>
    </row>
    <row r="28" spans="1:13" x14ac:dyDescent="0.25">
      <c r="B28" t="s">
        <v>298</v>
      </c>
      <c r="H28" s="153">
        <f>H12</f>
        <v>3.4575783620704771E-2</v>
      </c>
    </row>
    <row r="29" spans="1:13" x14ac:dyDescent="0.25">
      <c r="B29" t="s">
        <v>299</v>
      </c>
      <c r="H29" s="154">
        <f>+H22</f>
        <v>0.106084</v>
      </c>
    </row>
    <row r="30" spans="1:13" x14ac:dyDescent="0.25">
      <c r="B30" t="s">
        <v>291</v>
      </c>
      <c r="H30" s="154">
        <f>H10</f>
        <v>0.3</v>
      </c>
    </row>
    <row r="31" spans="1:13" x14ac:dyDescent="0.25">
      <c r="B31" s="156" t="s">
        <v>300</v>
      </c>
      <c r="C31" s="156"/>
      <c r="D31" s="156"/>
      <c r="E31" s="156"/>
      <c r="F31" s="156"/>
      <c r="G31" s="156"/>
      <c r="H31" s="149">
        <f>'Forecasted Balance Sheet'!D49+'Forecasted Balance Sheet'!D28</f>
        <v>7563.75</v>
      </c>
    </row>
    <row r="32" spans="1:13" x14ac:dyDescent="0.25">
      <c r="B32" t="s">
        <v>301</v>
      </c>
      <c r="H32" s="149">
        <f>AVERAGE('Forecasted Balance Sheet'!D60+'Forecasted Balance Sheet'!B60)</f>
        <v>28474</v>
      </c>
    </row>
    <row r="33" spans="1:9" x14ac:dyDescent="0.25">
      <c r="B33" t="s">
        <v>302</v>
      </c>
      <c r="H33" s="157">
        <f>H31+H32</f>
        <v>36037.75</v>
      </c>
    </row>
    <row r="35" spans="1:9" x14ac:dyDescent="0.25">
      <c r="A35" s="146" t="s">
        <v>303</v>
      </c>
      <c r="F35" s="146" t="s">
        <v>304</v>
      </c>
    </row>
    <row r="36" spans="1:9" x14ac:dyDescent="0.25">
      <c r="A36" s="151" t="s">
        <v>305</v>
      </c>
      <c r="F36" s="151" t="s">
        <v>306</v>
      </c>
    </row>
    <row r="37" spans="1:9" x14ac:dyDescent="0.25">
      <c r="A37" t="s">
        <v>307</v>
      </c>
      <c r="D37" s="158">
        <f>H28</f>
        <v>3.4575783620704771E-2</v>
      </c>
      <c r="F37" t="s">
        <v>308</v>
      </c>
      <c r="I37" s="158">
        <f>H19</f>
        <v>2.53E-2</v>
      </c>
    </row>
    <row r="38" spans="1:9" x14ac:dyDescent="0.25">
      <c r="A38" t="s">
        <v>309</v>
      </c>
      <c r="D38" s="158">
        <f>H10</f>
        <v>0.3</v>
      </c>
      <c r="F38" t="s">
        <v>310</v>
      </c>
      <c r="I38" s="159">
        <f>+H17</f>
        <v>1.08</v>
      </c>
    </row>
    <row r="39" spans="1:9" x14ac:dyDescent="0.25">
      <c r="A39" t="s">
        <v>303</v>
      </c>
      <c r="D39" s="158">
        <f>+D37*(1-D38)</f>
        <v>2.420304853449334E-2</v>
      </c>
      <c r="F39" t="s">
        <v>311</v>
      </c>
      <c r="I39" s="160">
        <f>+H18-I37</f>
        <v>7.4799999999999991E-2</v>
      </c>
    </row>
    <row r="40" spans="1:9" x14ac:dyDescent="0.25">
      <c r="F40" t="s">
        <v>304</v>
      </c>
      <c r="I40" s="161">
        <f>+I37+(I38*I39)</f>
        <v>0.106084</v>
      </c>
    </row>
    <row r="43" spans="1:9" x14ac:dyDescent="0.25">
      <c r="A43" t="s">
        <v>312</v>
      </c>
      <c r="D43" s="162">
        <f>+H31</f>
        <v>7563.75</v>
      </c>
      <c r="F43" t="s">
        <v>313</v>
      </c>
      <c r="I43" s="163">
        <f>+H32</f>
        <v>28474</v>
      </c>
    </row>
    <row r="44" spans="1:9" x14ac:dyDescent="0.25">
      <c r="F44" t="s">
        <v>314</v>
      </c>
      <c r="I44" s="163">
        <f>+I43+D43</f>
        <v>36037.75</v>
      </c>
    </row>
    <row r="45" spans="1:9" x14ac:dyDescent="0.25">
      <c r="A45" t="s">
        <v>315</v>
      </c>
      <c r="D45" s="164">
        <f>+D43/I44</f>
        <v>0.20988407988845031</v>
      </c>
      <c r="F45" t="s">
        <v>316</v>
      </c>
      <c r="I45" s="165">
        <f>+I43/I44</f>
        <v>0.79011592011154974</v>
      </c>
    </row>
    <row r="47" spans="1:9" ht="15.75" thickBot="1" x14ac:dyDescent="0.3">
      <c r="D47" s="166"/>
      <c r="I47" s="166"/>
    </row>
    <row r="48" spans="1:9" ht="15.75" thickBot="1" x14ac:dyDescent="0.3">
      <c r="A48" t="s">
        <v>317</v>
      </c>
      <c r="E48" s="167">
        <f>(+D45*D39)+(I45*I40)</f>
        <v>8.8898491841271285E-2</v>
      </c>
    </row>
  </sheetData>
  <mergeCells count="1">
    <mergeCell ref="L17:L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9"/>
  <sheetViews>
    <sheetView topLeftCell="A25" zoomScale="80" zoomScaleNormal="80" workbookViewId="0">
      <selection activeCell="B35" sqref="B35"/>
    </sheetView>
  </sheetViews>
  <sheetFormatPr defaultColWidth="11.42578125" defaultRowHeight="15" x14ac:dyDescent="0.25"/>
  <cols>
    <col min="1" max="1" width="41" bestFit="1" customWidth="1"/>
    <col min="2" max="2" width="12.85546875" bestFit="1" customWidth="1"/>
  </cols>
  <sheetData>
    <row r="1" spans="1:12" ht="15.75" x14ac:dyDescent="0.25">
      <c r="A1" s="173" t="s">
        <v>324</v>
      </c>
    </row>
    <row r="3" spans="1:12" ht="30" x14ac:dyDescent="0.25">
      <c r="B3" s="174" t="s">
        <v>325</v>
      </c>
      <c r="C3" s="263" t="s">
        <v>326</v>
      </c>
      <c r="D3" s="264"/>
      <c r="E3" s="265"/>
      <c r="F3" s="174" t="s">
        <v>327</v>
      </c>
    </row>
    <row r="4" spans="1:12" x14ac:dyDescent="0.25">
      <c r="B4" s="174">
        <v>2015</v>
      </c>
      <c r="C4" s="175">
        <v>2016</v>
      </c>
      <c r="D4" s="175">
        <v>2017</v>
      </c>
      <c r="E4" s="175">
        <v>2018</v>
      </c>
      <c r="F4" s="174"/>
    </row>
    <row r="5" spans="1:12" x14ac:dyDescent="0.25">
      <c r="A5" t="s">
        <v>328</v>
      </c>
      <c r="B5" s="174"/>
      <c r="C5" s="191">
        <v>8.6499999999999994E-2</v>
      </c>
      <c r="D5" s="191">
        <f>+C5</f>
        <v>8.6499999999999994E-2</v>
      </c>
      <c r="E5" s="191">
        <f>+D5</f>
        <v>8.6499999999999994E-2</v>
      </c>
      <c r="F5" s="177">
        <v>0.02</v>
      </c>
    </row>
    <row r="6" spans="1:12" x14ac:dyDescent="0.25">
      <c r="A6" t="s">
        <v>329</v>
      </c>
      <c r="B6" s="178">
        <f>'Forecasted Income Statement'!B8</f>
        <v>16212</v>
      </c>
      <c r="C6" s="178">
        <f>'Forecasted Income Statement'!D8</f>
        <v>14809.715525756179</v>
      </c>
      <c r="D6" s="178">
        <f>'Forecasted Income Statement'!F8</f>
        <v>13528.724028733261</v>
      </c>
      <c r="E6" s="178">
        <f>'Forecasted Income Statement'!H8</f>
        <v>12358.534066864153</v>
      </c>
      <c r="F6" s="178">
        <f>+E6*(1+F5)</f>
        <v>12605.704748201437</v>
      </c>
    </row>
    <row r="7" spans="1:12" x14ac:dyDescent="0.25">
      <c r="B7" s="178"/>
      <c r="C7" s="178"/>
      <c r="D7" s="178"/>
      <c r="E7" s="178"/>
      <c r="F7" s="178"/>
    </row>
    <row r="8" spans="1:12" x14ac:dyDescent="0.25">
      <c r="A8" t="s">
        <v>330</v>
      </c>
      <c r="B8" s="178"/>
      <c r="C8" s="179">
        <f>ROUND(C6,0)</f>
        <v>14810</v>
      </c>
      <c r="D8" s="179">
        <f>ROUND(D6,0)</f>
        <v>13529</v>
      </c>
      <c r="E8" s="179">
        <f>ROUND(E6,0)</f>
        <v>12359</v>
      </c>
      <c r="F8" s="179">
        <f>ROUND(F6,0)</f>
        <v>12606</v>
      </c>
      <c r="H8" t="s">
        <v>331</v>
      </c>
      <c r="L8" t="s">
        <v>332</v>
      </c>
    </row>
    <row r="9" spans="1:12" x14ac:dyDescent="0.25">
      <c r="A9" t="s">
        <v>180</v>
      </c>
      <c r="B9" s="179">
        <f>'Forecasted Income Statement'!B27-('Forecasted Income Statement'!B28+('Forecasted Income Statement'!B14-'Forecasted Income Statement'!B26)*0.37)</f>
        <v>1673.65</v>
      </c>
      <c r="C9" s="179">
        <f>'Forecasted Financial Ratios'!H32</f>
        <v>1776.1565441773155</v>
      </c>
      <c r="D9" s="179">
        <f>'Forecasted Financial Ratios'!I32</f>
        <v>1622.5248672881958</v>
      </c>
      <c r="E9" s="179">
        <f>'Forecasted Financial Ratios'!J32</f>
        <v>1482.1818232175842</v>
      </c>
      <c r="F9" s="179">
        <f>+E9+L9</f>
        <v>1546.0045488117228</v>
      </c>
      <c r="H9" s="180">
        <f>+B9-C9</f>
        <v>-102.50654417731539</v>
      </c>
      <c r="I9" s="180">
        <f>+C9-D9</f>
        <v>153.63167688911972</v>
      </c>
      <c r="J9" s="180">
        <f>+D9-E9</f>
        <v>140.34304407061154</v>
      </c>
      <c r="K9" s="180"/>
      <c r="L9" s="180">
        <f>AVERAGE(H9:K9)</f>
        <v>63.822725594138625</v>
      </c>
    </row>
    <row r="10" spans="1:12" x14ac:dyDescent="0.25">
      <c r="A10" t="s">
        <v>333</v>
      </c>
      <c r="B10" s="179">
        <f>('Forecasted Balance Sheet'!B26-'Forecasted Balance Sheet'!B5-'Forecasted Balance Sheet'!B6-'Forecasted Balance Sheet'!B15-'Forecasted Balance Sheet'!B22)-('Forecasted Balance Sheet'!B52-'Forecasted Balance Sheet'!B50-'Forecasted Balance Sheet'!B42-'Forecasted Balance Sheet'!B28)</f>
        <v>4575</v>
      </c>
      <c r="C10" s="179">
        <f>'Forecasted Financial Ratios'!H38</f>
        <v>5389.3763003795866</v>
      </c>
      <c r="D10" s="179">
        <f>'Forecasted Financial Ratios'!I38</f>
        <v>5170.1369821279077</v>
      </c>
      <c r="E10" s="179">
        <f>'Forecasted Financial Ratios'!J38</f>
        <v>4956.7933169628486</v>
      </c>
      <c r="F10" s="181">
        <f>+E10+L11</f>
        <v>5084.0577559504645</v>
      </c>
      <c r="H10" t="s">
        <v>334</v>
      </c>
      <c r="L10" t="s">
        <v>332</v>
      </c>
    </row>
    <row r="11" spans="1:12" x14ac:dyDescent="0.25">
      <c r="B11" s="179"/>
      <c r="C11" s="182"/>
      <c r="D11" s="179"/>
      <c r="E11" s="179"/>
      <c r="F11" s="179"/>
      <c r="H11" s="180">
        <f>+C12</f>
        <v>814.37630037958661</v>
      </c>
      <c r="I11" s="180">
        <f>+D12</f>
        <v>-219.23931825167892</v>
      </c>
      <c r="J11" s="180">
        <f>+E12</f>
        <v>-213.34366516505906</v>
      </c>
      <c r="K11" s="180"/>
      <c r="L11" s="180">
        <f>AVERAGE(H11:K11)</f>
        <v>127.2644389876162</v>
      </c>
    </row>
    <row r="12" spans="1:12" x14ac:dyDescent="0.25">
      <c r="A12" t="s">
        <v>335</v>
      </c>
      <c r="B12" s="179"/>
      <c r="C12" s="179">
        <f>+C10-B10</f>
        <v>814.37630037958661</v>
      </c>
      <c r="D12" s="179">
        <f>+D10-C10</f>
        <v>-219.23931825167892</v>
      </c>
      <c r="E12" s="179">
        <f>+E10-D10</f>
        <v>-213.34366516505906</v>
      </c>
      <c r="F12" s="179">
        <f>+F10-E10</f>
        <v>127.2644389876159</v>
      </c>
    </row>
    <row r="13" spans="1:12" x14ac:dyDescent="0.25">
      <c r="A13" t="s">
        <v>336</v>
      </c>
      <c r="B13" s="179"/>
      <c r="C13" s="179">
        <f>+C9-C12</f>
        <v>961.78024379772887</v>
      </c>
      <c r="D13" s="179">
        <f>+D9-D12</f>
        <v>1841.7641855398747</v>
      </c>
      <c r="E13" s="179">
        <f>+E9-E12</f>
        <v>1695.5254883826433</v>
      </c>
      <c r="F13" s="179">
        <f>+F9-F12</f>
        <v>1418.7401098241069</v>
      </c>
    </row>
    <row r="14" spans="1:12" x14ac:dyDescent="0.25">
      <c r="A14" t="s">
        <v>337</v>
      </c>
      <c r="B14" s="183">
        <v>0.1</v>
      </c>
      <c r="C14" s="184">
        <v>0.90908999999999995</v>
      </c>
      <c r="D14" s="184">
        <v>0.82645000000000002</v>
      </c>
      <c r="E14" s="184">
        <v>0.75131000000000003</v>
      </c>
      <c r="F14" s="184"/>
    </row>
    <row r="15" spans="1:12" x14ac:dyDescent="0.25">
      <c r="A15" t="s">
        <v>338</v>
      </c>
      <c r="B15" s="179"/>
      <c r="C15" s="179">
        <f>+C13*C14</f>
        <v>874.34480183407732</v>
      </c>
      <c r="D15" s="179">
        <f>+D13*D14</f>
        <v>1522.1260111394295</v>
      </c>
      <c r="E15" s="179">
        <f>+E13*E14</f>
        <v>1273.8652546767637</v>
      </c>
      <c r="F15" s="179"/>
    </row>
    <row r="16" spans="1:12" x14ac:dyDescent="0.25">
      <c r="A16" t="s">
        <v>339</v>
      </c>
      <c r="B16" s="179">
        <f>SUM(C15:E15)</f>
        <v>3670.3360676502707</v>
      </c>
      <c r="C16" s="179"/>
      <c r="D16" s="179"/>
      <c r="E16" s="179"/>
      <c r="F16" s="179"/>
    </row>
    <row r="17" spans="1:7" x14ac:dyDescent="0.25">
      <c r="A17" t="s">
        <v>340</v>
      </c>
      <c r="B17" s="185">
        <f>ROUND((F13/(E5-F5))*E14,0)</f>
        <v>16029</v>
      </c>
      <c r="C17" s="179"/>
      <c r="D17" s="179"/>
      <c r="E17" s="179"/>
      <c r="F17" s="179"/>
    </row>
    <row r="18" spans="1:7" x14ac:dyDescent="0.25">
      <c r="B18" s="179"/>
      <c r="C18" s="179"/>
      <c r="D18" s="179"/>
      <c r="E18" s="179"/>
      <c r="F18" s="179"/>
    </row>
    <row r="19" spans="1:7" ht="15.75" thickBot="1" x14ac:dyDescent="0.3">
      <c r="A19" t="s">
        <v>341</v>
      </c>
      <c r="B19" s="179">
        <f>SUM(B16:B17)</f>
        <v>19699.336067650271</v>
      </c>
      <c r="C19" s="179"/>
      <c r="D19" s="179"/>
      <c r="E19" s="179"/>
      <c r="F19" s="179"/>
    </row>
    <row r="20" spans="1:7" ht="15.75" thickBot="1" x14ac:dyDescent="0.3">
      <c r="A20" t="s">
        <v>342</v>
      </c>
      <c r="B20" s="179">
        <f>+B10-F20</f>
        <v>-8872</v>
      </c>
      <c r="C20" s="179"/>
      <c r="D20" s="179" t="s">
        <v>343</v>
      </c>
      <c r="E20" s="179"/>
      <c r="F20" s="186">
        <f>'Forecasted Balance Sheet'!B62</f>
        <v>13447</v>
      </c>
      <c r="G20" t="s">
        <v>498</v>
      </c>
    </row>
    <row r="21" spans="1:7" x14ac:dyDescent="0.25">
      <c r="A21" t="s">
        <v>345</v>
      </c>
      <c r="B21" s="185">
        <v>0</v>
      </c>
      <c r="C21" s="179"/>
      <c r="D21" s="179"/>
      <c r="E21" s="179"/>
      <c r="F21" s="179"/>
    </row>
    <row r="22" spans="1:7" x14ac:dyDescent="0.25">
      <c r="B22" s="179"/>
      <c r="C22" s="179"/>
      <c r="D22" s="179"/>
      <c r="E22" s="179"/>
      <c r="F22" s="179"/>
    </row>
    <row r="23" spans="1:7" ht="15.75" thickBot="1" x14ac:dyDescent="0.3">
      <c r="A23" t="s">
        <v>346</v>
      </c>
      <c r="B23" s="187">
        <f>+B19-B20</f>
        <v>28571.336067650271</v>
      </c>
      <c r="C23" s="179"/>
      <c r="D23" s="179"/>
      <c r="E23" s="179"/>
      <c r="F23" s="179"/>
    </row>
    <row r="24" spans="1:7" ht="15.75" thickTop="1" x14ac:dyDescent="0.25">
      <c r="B24" s="179"/>
      <c r="C24" s="179"/>
      <c r="D24" s="179"/>
      <c r="E24" s="179"/>
      <c r="F24" s="179"/>
    </row>
    <row r="25" spans="1:7" x14ac:dyDescent="0.25">
      <c r="A25" t="s">
        <v>347</v>
      </c>
      <c r="B25" s="188">
        <f>'Forecasted Financial Ratios'!E14/1000</f>
        <v>2210</v>
      </c>
      <c r="C25" s="179"/>
      <c r="D25" t="s">
        <v>498</v>
      </c>
      <c r="E25" s="179"/>
      <c r="F25" s="179"/>
    </row>
    <row r="26" spans="1:7" x14ac:dyDescent="0.25">
      <c r="B26" s="179"/>
      <c r="C26" s="179"/>
      <c r="D26" s="179"/>
      <c r="E26" s="179"/>
      <c r="F26" s="179"/>
    </row>
    <row r="27" spans="1:7" ht="15.75" thickBot="1" x14ac:dyDescent="0.3">
      <c r="A27" t="s">
        <v>348</v>
      </c>
      <c r="B27" s="189">
        <f>+B23/B25</f>
        <v>12.928206365452612</v>
      </c>
      <c r="C27" s="179"/>
      <c r="D27" s="179" t="s">
        <v>349</v>
      </c>
      <c r="E27" s="179"/>
      <c r="F27" s="179"/>
    </row>
    <row r="28" spans="1:7" ht="15.75" thickTop="1" x14ac:dyDescent="0.25"/>
    <row r="30" spans="1:7" ht="15.75" x14ac:dyDescent="0.25">
      <c r="A30" s="173" t="s">
        <v>350</v>
      </c>
    </row>
    <row r="32" spans="1:7" ht="30" x14ac:dyDescent="0.25">
      <c r="B32" s="174" t="s">
        <v>325</v>
      </c>
      <c r="C32" s="263" t="s">
        <v>326</v>
      </c>
      <c r="D32" s="264"/>
      <c r="E32" s="265"/>
      <c r="F32" s="174" t="s">
        <v>327</v>
      </c>
    </row>
    <row r="33" spans="1:7" x14ac:dyDescent="0.25">
      <c r="B33" s="174">
        <v>2015</v>
      </c>
      <c r="C33" s="175">
        <v>2016</v>
      </c>
      <c r="D33" s="175">
        <v>2017</v>
      </c>
      <c r="E33" s="175">
        <v>2018</v>
      </c>
      <c r="F33" s="175"/>
      <c r="G33" s="174"/>
    </row>
    <row r="34" spans="1:7" x14ac:dyDescent="0.25">
      <c r="A34" t="s">
        <v>328</v>
      </c>
      <c r="B34" s="174"/>
      <c r="C34" s="191">
        <f>+C5</f>
        <v>8.6499999999999994E-2</v>
      </c>
      <c r="D34" s="191">
        <f>+D5</f>
        <v>8.6499999999999994E-2</v>
      </c>
      <c r="E34" s="191">
        <f>+E5</f>
        <v>8.6499999999999994E-2</v>
      </c>
      <c r="F34" s="176">
        <f>+F5</f>
        <v>0.02</v>
      </c>
    </row>
    <row r="35" spans="1:7" x14ac:dyDescent="0.25">
      <c r="A35" t="s">
        <v>329</v>
      </c>
      <c r="B35" s="178">
        <f>+B6</f>
        <v>16212</v>
      </c>
      <c r="C35" s="178">
        <f>+B35*(1+C34)</f>
        <v>17614.338</v>
      </c>
      <c r="D35" s="178">
        <f>+C35*(1+D34)</f>
        <v>19137.978236999999</v>
      </c>
      <c r="E35" s="178">
        <f>+D35*(1+E34)</f>
        <v>20793.413354500499</v>
      </c>
      <c r="F35" s="178">
        <f>+E35*(1+F34)</f>
        <v>21209.281621590508</v>
      </c>
    </row>
    <row r="36" spans="1:7" x14ac:dyDescent="0.25">
      <c r="B36" s="178"/>
      <c r="C36" s="178"/>
      <c r="D36" s="178"/>
      <c r="E36" s="178"/>
      <c r="F36" s="178"/>
    </row>
    <row r="37" spans="1:7" x14ac:dyDescent="0.25">
      <c r="A37" t="s">
        <v>330</v>
      </c>
      <c r="B37" s="178"/>
      <c r="C37" s="179">
        <f>ROUND(C35,0)</f>
        <v>17614</v>
      </c>
      <c r="D37" s="179">
        <f>ROUND(D35,0)</f>
        <v>19138</v>
      </c>
      <c r="E37" s="179">
        <f>ROUND(E35,0)</f>
        <v>20793</v>
      </c>
      <c r="F37" s="179">
        <f>ROUND(F35,0)</f>
        <v>21209</v>
      </c>
    </row>
    <row r="38" spans="1:7" x14ac:dyDescent="0.25">
      <c r="A38" t="s">
        <v>180</v>
      </c>
      <c r="B38" s="179">
        <f>+B9</f>
        <v>1673.65</v>
      </c>
      <c r="C38" s="179">
        <f t="shared" ref="B38:F39" si="0">+C9</f>
        <v>1776.1565441773155</v>
      </c>
      <c r="D38" s="179">
        <f t="shared" si="0"/>
        <v>1622.5248672881958</v>
      </c>
      <c r="E38" s="179">
        <f t="shared" si="0"/>
        <v>1482.1818232175842</v>
      </c>
      <c r="F38" s="179">
        <f t="shared" si="0"/>
        <v>1546.0045488117228</v>
      </c>
    </row>
    <row r="39" spans="1:7" x14ac:dyDescent="0.25">
      <c r="A39" t="s">
        <v>333</v>
      </c>
      <c r="B39" s="179">
        <f t="shared" si="0"/>
        <v>4575</v>
      </c>
      <c r="C39" s="179">
        <f t="shared" si="0"/>
        <v>5389.3763003795866</v>
      </c>
      <c r="D39" s="179">
        <f t="shared" si="0"/>
        <v>5170.1369821279077</v>
      </c>
      <c r="E39" s="179">
        <f t="shared" si="0"/>
        <v>4956.7933169628486</v>
      </c>
      <c r="F39" s="179">
        <f t="shared" si="0"/>
        <v>5084.0577559504645</v>
      </c>
    </row>
    <row r="40" spans="1:7" x14ac:dyDescent="0.25">
      <c r="B40" s="182"/>
      <c r="C40" s="182"/>
      <c r="D40" s="182"/>
      <c r="E40" s="182"/>
      <c r="F40" s="182"/>
    </row>
    <row r="41" spans="1:7" x14ac:dyDescent="0.25">
      <c r="A41" t="s">
        <v>351</v>
      </c>
      <c r="B41" s="179"/>
      <c r="C41" s="179">
        <f>ROUND(C38-(B39*C34),0)</f>
        <v>1380</v>
      </c>
      <c r="D41" s="179">
        <f>ROUND(D38-(C39*D34),0)</f>
        <v>1156</v>
      </c>
      <c r="E41" s="179">
        <f>ROUND(E38-(D39*E34),0)</f>
        <v>1035</v>
      </c>
      <c r="F41" s="179">
        <f>ROUND(F38-(E39*E34),0)</f>
        <v>1117</v>
      </c>
    </row>
    <row r="42" spans="1:7" x14ac:dyDescent="0.25">
      <c r="A42" t="s">
        <v>337</v>
      </c>
      <c r="B42" s="183">
        <f>+B14</f>
        <v>0.1</v>
      </c>
      <c r="C42" s="184">
        <f>+C14</f>
        <v>0.90908999999999995</v>
      </c>
      <c r="D42" s="184">
        <f>+D14</f>
        <v>0.82645000000000002</v>
      </c>
      <c r="E42" s="184">
        <f>+E14</f>
        <v>0.75131000000000003</v>
      </c>
      <c r="F42" s="184"/>
    </row>
    <row r="43" spans="1:7" x14ac:dyDescent="0.25">
      <c r="A43" t="s">
        <v>352</v>
      </c>
      <c r="B43" s="179"/>
      <c r="C43" s="179">
        <f>ROUND(+C41*C42,0)</f>
        <v>1255</v>
      </c>
      <c r="D43" s="179">
        <f>ROUND(+D41*D42,0)</f>
        <v>955</v>
      </c>
      <c r="E43" s="179">
        <f>ROUND(+E41*E42,0)</f>
        <v>778</v>
      </c>
      <c r="F43" s="179"/>
    </row>
    <row r="44" spans="1:7" x14ac:dyDescent="0.25">
      <c r="A44" t="s">
        <v>339</v>
      </c>
      <c r="B44" s="179">
        <f>SUM(C43:E43)</f>
        <v>2988</v>
      </c>
      <c r="C44" s="179"/>
      <c r="D44" s="179"/>
      <c r="E44" s="179"/>
      <c r="F44" s="179"/>
    </row>
    <row r="45" spans="1:7" x14ac:dyDescent="0.25">
      <c r="A45" t="s">
        <v>340</v>
      </c>
      <c r="B45" s="190">
        <f>ROUND((F41/(E34-F34))*E42,0)</f>
        <v>12620</v>
      </c>
      <c r="C45" s="179"/>
      <c r="D45" s="179"/>
      <c r="E45" s="179"/>
      <c r="F45" s="179"/>
    </row>
    <row r="46" spans="1:7" x14ac:dyDescent="0.25">
      <c r="A46" t="s">
        <v>353</v>
      </c>
      <c r="B46" s="185">
        <f>+B39</f>
        <v>4575</v>
      </c>
      <c r="C46" s="179"/>
      <c r="D46" s="179"/>
      <c r="E46" s="179"/>
      <c r="F46" s="179"/>
    </row>
    <row r="47" spans="1:7" ht="15.75" thickBot="1" x14ac:dyDescent="0.3">
      <c r="A47" t="s">
        <v>341</v>
      </c>
      <c r="B47" s="179">
        <f>SUM(B44:B46)</f>
        <v>20183</v>
      </c>
      <c r="C47" s="179"/>
      <c r="D47" s="179"/>
      <c r="E47" s="179"/>
      <c r="F47" s="179"/>
    </row>
    <row r="48" spans="1:7" ht="15.75" thickBot="1" x14ac:dyDescent="0.3">
      <c r="A48" t="s">
        <v>342</v>
      </c>
      <c r="B48" s="179">
        <f>+B39-F48</f>
        <v>-8872</v>
      </c>
      <c r="C48" s="179"/>
      <c r="D48" s="179" t="s">
        <v>343</v>
      </c>
      <c r="E48" s="179"/>
      <c r="F48" s="186">
        <f>+F20</f>
        <v>13447</v>
      </c>
      <c r="G48" t="s">
        <v>498</v>
      </c>
    </row>
    <row r="49" spans="1:6" x14ac:dyDescent="0.25">
      <c r="A49" t="s">
        <v>345</v>
      </c>
      <c r="B49" s="185">
        <v>0</v>
      </c>
      <c r="C49" s="179"/>
      <c r="D49" s="179"/>
      <c r="E49" s="179"/>
      <c r="F49" s="179"/>
    </row>
    <row r="50" spans="1:6" x14ac:dyDescent="0.25">
      <c r="B50" s="179"/>
      <c r="C50" s="179"/>
      <c r="D50" s="179"/>
      <c r="E50" s="179"/>
      <c r="F50" s="179"/>
    </row>
    <row r="51" spans="1:6" ht="15.75" thickBot="1" x14ac:dyDescent="0.3">
      <c r="A51" t="s">
        <v>346</v>
      </c>
      <c r="B51" s="187">
        <f>+B47-B48</f>
        <v>29055</v>
      </c>
      <c r="C51" s="181"/>
      <c r="D51" s="181"/>
      <c r="E51" s="179"/>
      <c r="F51" s="179"/>
    </row>
    <row r="52" spans="1:6" ht="15.75" thickTop="1" x14ac:dyDescent="0.25">
      <c r="B52" s="179"/>
      <c r="C52" s="179"/>
      <c r="D52" s="179"/>
      <c r="E52" s="179"/>
      <c r="F52" s="179"/>
    </row>
    <row r="53" spans="1:6" x14ac:dyDescent="0.25">
      <c r="A53" t="s">
        <v>347</v>
      </c>
      <c r="B53" s="188">
        <f>+B25</f>
        <v>2210</v>
      </c>
      <c r="C53" s="179"/>
      <c r="D53" t="s">
        <v>344</v>
      </c>
      <c r="E53" s="179"/>
      <c r="F53" s="179"/>
    </row>
    <row r="54" spans="1:6" x14ac:dyDescent="0.25">
      <c r="B54" s="179"/>
      <c r="C54" s="179"/>
      <c r="D54" s="179"/>
      <c r="E54" s="179"/>
      <c r="F54" s="179"/>
    </row>
    <row r="55" spans="1:6" ht="15.75" thickBot="1" x14ac:dyDescent="0.3">
      <c r="A55" t="s">
        <v>348</v>
      </c>
      <c r="B55" s="189">
        <f>+B51/B53</f>
        <v>13.147058823529411</v>
      </c>
      <c r="C55" s="179"/>
      <c r="D55" s="192" t="s">
        <v>349</v>
      </c>
      <c r="E55" s="179"/>
      <c r="F55" s="179"/>
    </row>
    <row r="56" spans="1:6" ht="15.75" thickTop="1" x14ac:dyDescent="0.25">
      <c r="B56" s="179"/>
      <c r="C56" s="179"/>
      <c r="D56" s="179"/>
      <c r="E56" s="179"/>
      <c r="F56" s="179"/>
    </row>
    <row r="57" spans="1:6" x14ac:dyDescent="0.25">
      <c r="B57" s="179"/>
      <c r="C57" s="179"/>
      <c r="D57" s="179"/>
      <c r="E57" s="179"/>
      <c r="F57" s="179"/>
    </row>
    <row r="58" spans="1:6" x14ac:dyDescent="0.25">
      <c r="B58" s="179"/>
      <c r="C58" s="179"/>
      <c r="D58" s="179"/>
      <c r="E58" s="179"/>
      <c r="F58" s="179"/>
    </row>
    <row r="59" spans="1:6" x14ac:dyDescent="0.25">
      <c r="B59" s="179"/>
      <c r="C59" s="179"/>
      <c r="D59" s="179"/>
      <c r="E59" s="179"/>
      <c r="F59" s="179"/>
    </row>
  </sheetData>
  <mergeCells count="2">
    <mergeCell ref="C3:E3"/>
    <mergeCell ref="C32:E3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Adjusted Income  Statement</vt:lpstr>
      <vt:lpstr>Adjusted Balance Sheet</vt:lpstr>
      <vt:lpstr>Adjusted Cash Flow Statement</vt:lpstr>
      <vt:lpstr>Forecasted Income Statement</vt:lpstr>
      <vt:lpstr>Forecasted Balance Sheet</vt:lpstr>
      <vt:lpstr>Forecasted Cash Flow Statement</vt:lpstr>
      <vt:lpstr>Forecasted Financial Ratios</vt:lpstr>
      <vt:lpstr>Co Past &amp; Present Performance</vt:lpstr>
      <vt:lpstr>Valuation Models</vt:lpstr>
      <vt:lpstr>Company and Equity IV</vt:lpstr>
      <vt:lpstr>Johnson &amp; Johnson</vt:lpstr>
      <vt:lpstr>Pfizer Inc.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Ashu</dc:creator>
  <cp:lastModifiedBy>Michael Gibson</cp:lastModifiedBy>
  <dcterms:created xsi:type="dcterms:W3CDTF">2017-03-08T16:13:52Z</dcterms:created>
  <dcterms:modified xsi:type="dcterms:W3CDTF">2017-04-02T05:15:45Z</dcterms:modified>
</cp:coreProperties>
</file>