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Project’s Cash Flows " sheetId="1" r:id="rId1"/>
    <sheet name="Investment Costs" sheetId="4" r:id="rId2"/>
    <sheet name="Cost of Capital (WACC)" sheetId="2" r:id="rId3"/>
    <sheet name="Investment Appraisal" sheetId="3" r:id="rId4"/>
  </sheets>
  <calcPr calcId="124519"/>
</workbook>
</file>

<file path=xl/calcChain.xml><?xml version="1.0" encoding="utf-8"?>
<calcChain xmlns="http://schemas.openxmlformats.org/spreadsheetml/2006/main">
  <c r="C6" i="4"/>
  <c r="C14" i="3"/>
  <c r="C12"/>
  <c r="D10"/>
  <c r="E10"/>
  <c r="F10"/>
  <c r="G10"/>
  <c r="H10"/>
  <c r="I10"/>
  <c r="J10"/>
  <c r="K10"/>
  <c r="L10"/>
  <c r="M10"/>
  <c r="N10"/>
  <c r="O10"/>
  <c r="P10"/>
  <c r="Q10"/>
  <c r="R10"/>
  <c r="S10"/>
  <c r="T10"/>
  <c r="U10"/>
  <c r="V10"/>
  <c r="W10"/>
  <c r="C10"/>
  <c r="F9"/>
  <c r="G9"/>
  <c r="H9" s="1"/>
  <c r="I9" s="1"/>
  <c r="J9" s="1"/>
  <c r="K9" s="1"/>
  <c r="L9" s="1"/>
  <c r="M9" s="1"/>
  <c r="N9" s="1"/>
  <c r="O9" s="1"/>
  <c r="P9" s="1"/>
  <c r="Q9" s="1"/>
  <c r="R9" s="1"/>
  <c r="S9" s="1"/>
  <c r="T9" s="1"/>
  <c r="U9" s="1"/>
  <c r="V9" s="1"/>
  <c r="W9" s="1"/>
  <c r="E9"/>
  <c r="D9"/>
  <c r="D8"/>
  <c r="E8"/>
  <c r="F8"/>
  <c r="G8"/>
  <c r="H8"/>
  <c r="I8"/>
  <c r="J8"/>
  <c r="K8"/>
  <c r="L8"/>
  <c r="M8"/>
  <c r="N8"/>
  <c r="O8"/>
  <c r="P8"/>
  <c r="Q8"/>
  <c r="R8"/>
  <c r="S8"/>
  <c r="T8"/>
  <c r="U8"/>
  <c r="V8"/>
  <c r="W8"/>
  <c r="C8"/>
  <c r="D7"/>
  <c r="E7"/>
  <c r="F7"/>
  <c r="G7"/>
  <c r="H7"/>
  <c r="I7"/>
  <c r="J7"/>
  <c r="K7"/>
  <c r="L7"/>
  <c r="M7"/>
  <c r="N7"/>
  <c r="O7"/>
  <c r="P7"/>
  <c r="Q7"/>
  <c r="R7"/>
  <c r="S7"/>
  <c r="T7"/>
  <c r="U7"/>
  <c r="V7"/>
  <c r="W7"/>
  <c r="D33" i="1"/>
  <c r="E33"/>
  <c r="F33"/>
  <c r="G33"/>
  <c r="H33"/>
  <c r="I33"/>
  <c r="J33"/>
  <c r="K33"/>
  <c r="L33"/>
  <c r="M33"/>
  <c r="N33"/>
  <c r="O33"/>
  <c r="P33"/>
  <c r="Q33"/>
  <c r="R33"/>
  <c r="S33"/>
  <c r="T33"/>
  <c r="U33"/>
  <c r="V33"/>
  <c r="C33"/>
  <c r="H24" l="1"/>
  <c r="I24"/>
  <c r="J24"/>
  <c r="K24"/>
  <c r="L24"/>
  <c r="M24"/>
  <c r="N24"/>
  <c r="O24"/>
  <c r="P24"/>
  <c r="Q24"/>
  <c r="R24"/>
  <c r="S24"/>
  <c r="T24"/>
  <c r="U24"/>
  <c r="V24"/>
  <c r="C17"/>
  <c r="D17" s="1"/>
  <c r="E17" s="1"/>
  <c r="F17" s="1"/>
  <c r="G17" s="1"/>
  <c r="H17" s="1"/>
  <c r="I17" s="1"/>
  <c r="J17" s="1"/>
  <c r="K17" s="1"/>
  <c r="L17" s="1"/>
  <c r="M17" s="1"/>
  <c r="N17" s="1"/>
  <c r="O17" s="1"/>
  <c r="P17" s="1"/>
  <c r="Q17" s="1"/>
  <c r="R17" s="1"/>
  <c r="S17" s="1"/>
  <c r="T17" s="1"/>
  <c r="U17" s="1"/>
  <c r="J5"/>
  <c r="I5"/>
  <c r="C16"/>
  <c r="C15"/>
  <c r="D15" s="1"/>
  <c r="E15" s="1"/>
  <c r="C12"/>
  <c r="D12" s="1"/>
  <c r="E12" s="1"/>
  <c r="V17" l="1"/>
  <c r="Q20"/>
  <c r="M20"/>
  <c r="I20"/>
  <c r="E20"/>
  <c r="D16"/>
  <c r="F12"/>
  <c r="D11"/>
  <c r="E11"/>
  <c r="F11"/>
  <c r="G11"/>
  <c r="H11"/>
  <c r="H20" s="1"/>
  <c r="I11"/>
  <c r="J11"/>
  <c r="J20" s="1"/>
  <c r="K11"/>
  <c r="K20" s="1"/>
  <c r="L11"/>
  <c r="L20" s="1"/>
  <c r="M11"/>
  <c r="N11"/>
  <c r="N20" s="1"/>
  <c r="O11"/>
  <c r="O20" s="1"/>
  <c r="P11"/>
  <c r="P20" s="1"/>
  <c r="Q11"/>
  <c r="R11"/>
  <c r="R20" s="1"/>
  <c r="S11"/>
  <c r="S20" s="1"/>
  <c r="T11"/>
  <c r="T20" s="1"/>
  <c r="U11"/>
  <c r="U20" s="1"/>
  <c r="V11"/>
  <c r="C11"/>
  <c r="I8" i="2"/>
  <c r="I7"/>
  <c r="H8"/>
  <c r="H7"/>
  <c r="G8"/>
  <c r="G7"/>
  <c r="I9"/>
  <c r="C13"/>
  <c r="F25" i="1" l="1"/>
  <c r="F26"/>
  <c r="F24" s="1"/>
  <c r="D20"/>
  <c r="D26"/>
  <c r="D24" s="1"/>
  <c r="C19"/>
  <c r="C20"/>
  <c r="C26"/>
  <c r="G25"/>
  <c r="G24" s="1"/>
  <c r="G26"/>
  <c r="E26"/>
  <c r="E24" s="1"/>
  <c r="E25"/>
  <c r="V20"/>
  <c r="E18"/>
  <c r="G20"/>
  <c r="F20"/>
  <c r="C18"/>
  <c r="C21" s="1"/>
  <c r="D25"/>
  <c r="D13"/>
  <c r="D19"/>
  <c r="E16"/>
  <c r="C13"/>
  <c r="C25"/>
  <c r="C24" s="1"/>
  <c r="D18"/>
  <c r="D21" s="1"/>
  <c r="E13"/>
  <c r="G12"/>
  <c r="F13"/>
  <c r="F28" l="1"/>
  <c r="E28"/>
  <c r="D30"/>
  <c r="D28"/>
  <c r="C30"/>
  <c r="C28"/>
  <c r="F15"/>
  <c r="E19"/>
  <c r="E21" s="1"/>
  <c r="E30" s="1"/>
  <c r="F16"/>
  <c r="H12"/>
  <c r="G13"/>
  <c r="E31" l="1"/>
  <c r="E32" s="1"/>
  <c r="E36" s="1"/>
  <c r="G28"/>
  <c r="G34" s="1"/>
  <c r="C31"/>
  <c r="C32" s="1"/>
  <c r="C36" s="1"/>
  <c r="D31"/>
  <c r="D32" s="1"/>
  <c r="D36" s="1"/>
  <c r="D34"/>
  <c r="E34"/>
  <c r="F34"/>
  <c r="F19"/>
  <c r="G16"/>
  <c r="F18"/>
  <c r="F21" s="1"/>
  <c r="F30" s="1"/>
  <c r="G15"/>
  <c r="I12"/>
  <c r="H13"/>
  <c r="F31" l="1"/>
  <c r="F32" s="1"/>
  <c r="F36" s="1"/>
  <c r="H28"/>
  <c r="H34" s="1"/>
  <c r="H16"/>
  <c r="G19"/>
  <c r="G18"/>
  <c r="H15"/>
  <c r="J12"/>
  <c r="I13"/>
  <c r="I28" l="1"/>
  <c r="I34" s="1"/>
  <c r="G21"/>
  <c r="G30" s="1"/>
  <c r="I15"/>
  <c r="H18"/>
  <c r="H19"/>
  <c r="I16"/>
  <c r="J13"/>
  <c r="K12"/>
  <c r="K13" s="1"/>
  <c r="J28" l="1"/>
  <c r="J34" s="1"/>
  <c r="K28"/>
  <c r="K34" s="1"/>
  <c r="G31"/>
  <c r="G32" s="1"/>
  <c r="G36" s="1"/>
  <c r="H21"/>
  <c r="H30" s="1"/>
  <c r="I19"/>
  <c r="J16"/>
  <c r="I18"/>
  <c r="I21" s="1"/>
  <c r="I30" s="1"/>
  <c r="J15"/>
  <c r="L12"/>
  <c r="I31" l="1"/>
  <c r="I32"/>
  <c r="I36" s="1"/>
  <c r="H31"/>
  <c r="H32" s="1"/>
  <c r="H36" s="1"/>
  <c r="K15"/>
  <c r="J18"/>
  <c r="J21" s="1"/>
  <c r="J30" s="1"/>
  <c r="J19"/>
  <c r="K16"/>
  <c r="M12"/>
  <c r="L13"/>
  <c r="L28" l="1"/>
  <c r="L34" s="1"/>
  <c r="J31"/>
  <c r="J32" s="1"/>
  <c r="J36" s="1"/>
  <c r="L15"/>
  <c r="K18"/>
  <c r="K21" s="1"/>
  <c r="K30" s="1"/>
  <c r="K19"/>
  <c r="L16"/>
  <c r="N12"/>
  <c r="M13"/>
  <c r="M28" l="1"/>
  <c r="M34" s="1"/>
  <c r="K32"/>
  <c r="K36" s="1"/>
  <c r="K31"/>
  <c r="L19"/>
  <c r="M16"/>
  <c r="L18"/>
  <c r="L21" s="1"/>
  <c r="L30" s="1"/>
  <c r="M15"/>
  <c r="O12"/>
  <c r="N13"/>
  <c r="L31" l="1"/>
  <c r="L32" s="1"/>
  <c r="L36" s="1"/>
  <c r="N28"/>
  <c r="N34" s="1"/>
  <c r="M18"/>
  <c r="N15"/>
  <c r="M19"/>
  <c r="N16"/>
  <c r="P12"/>
  <c r="O13"/>
  <c r="O28" l="1"/>
  <c r="O34" s="1"/>
  <c r="M21"/>
  <c r="M30" s="1"/>
  <c r="N19"/>
  <c r="O16"/>
  <c r="N18"/>
  <c r="N21" s="1"/>
  <c r="N30" s="1"/>
  <c r="O15"/>
  <c r="Q12"/>
  <c r="P13"/>
  <c r="N31" l="1"/>
  <c r="N32" s="1"/>
  <c r="N36" s="1"/>
  <c r="P28"/>
  <c r="P34" s="1"/>
  <c r="M31"/>
  <c r="M32" s="1"/>
  <c r="M36" s="1"/>
  <c r="O18"/>
  <c r="P15"/>
  <c r="P16"/>
  <c r="O19"/>
  <c r="R12"/>
  <c r="Q13"/>
  <c r="Q28" l="1"/>
  <c r="Q34" s="1"/>
  <c r="O21"/>
  <c r="O30" s="1"/>
  <c r="Q15"/>
  <c r="P18"/>
  <c r="P19"/>
  <c r="Q16"/>
  <c r="S12"/>
  <c r="R13"/>
  <c r="R28" l="1"/>
  <c r="R34" s="1"/>
  <c r="O31"/>
  <c r="O32"/>
  <c r="O36" s="1"/>
  <c r="P21"/>
  <c r="P30" s="1"/>
  <c r="R16"/>
  <c r="Q19"/>
  <c r="Q18"/>
  <c r="Q21" s="1"/>
  <c r="Q30" s="1"/>
  <c r="R15"/>
  <c r="T12"/>
  <c r="S13"/>
  <c r="Q31" l="1"/>
  <c r="Q32" s="1"/>
  <c r="Q36" s="1"/>
  <c r="S28"/>
  <c r="S34" s="1"/>
  <c r="P31"/>
  <c r="P32" s="1"/>
  <c r="P36" s="1"/>
  <c r="S15"/>
  <c r="R18"/>
  <c r="S16"/>
  <c r="R19"/>
  <c r="U12"/>
  <c r="T13"/>
  <c r="T28" l="1"/>
  <c r="T34" s="1"/>
  <c r="R21"/>
  <c r="R30" s="1"/>
  <c r="S19"/>
  <c r="T16"/>
  <c r="T15"/>
  <c r="S18"/>
  <c r="U13"/>
  <c r="V12"/>
  <c r="V13" s="1"/>
  <c r="U28" l="1"/>
  <c r="U34" s="1"/>
  <c r="V28"/>
  <c r="R31"/>
  <c r="R32" s="1"/>
  <c r="R36" s="1"/>
  <c r="S21"/>
  <c r="S30" s="1"/>
  <c r="U16"/>
  <c r="T19"/>
  <c r="T18"/>
  <c r="T21" s="1"/>
  <c r="T30" s="1"/>
  <c r="U15"/>
  <c r="T32" l="1"/>
  <c r="T36" s="1"/>
  <c r="T31"/>
  <c r="S32"/>
  <c r="S36" s="1"/>
  <c r="S31"/>
  <c r="V34"/>
  <c r="V15"/>
  <c r="V18" s="1"/>
  <c r="U18"/>
  <c r="V16"/>
  <c r="V19" s="1"/>
  <c r="U19"/>
  <c r="U21" l="1"/>
  <c r="U30" s="1"/>
  <c r="V21"/>
  <c r="V30" s="1"/>
  <c r="U31" l="1"/>
  <c r="U32"/>
  <c r="U36" s="1"/>
  <c r="V31"/>
  <c r="V32" s="1"/>
  <c r="V36" s="1"/>
</calcChain>
</file>

<file path=xl/comments1.xml><?xml version="1.0" encoding="utf-8"?>
<comments xmlns="http://schemas.openxmlformats.org/spreadsheetml/2006/main">
  <authors>
    <author>Redbus</author>
  </authors>
  <commentList>
    <comment ref="J5" authorId="0">
      <text>
        <r>
          <rPr>
            <b/>
            <sz val="8"/>
            <color indexed="81"/>
            <rFont val="Tahoma"/>
            <family val="2"/>
          </rPr>
          <t>Redbus:</t>
        </r>
        <r>
          <rPr>
            <sz val="8"/>
            <color indexed="81"/>
            <rFont val="Tahoma"/>
            <family val="2"/>
          </rPr>
          <t xml:space="preserve">
Cost per engine is lower in case of using Marcus engine, so this engine is used for sales forecast.</t>
        </r>
      </text>
    </comment>
  </commentList>
</comments>
</file>

<file path=xl/sharedStrings.xml><?xml version="1.0" encoding="utf-8"?>
<sst xmlns="http://schemas.openxmlformats.org/spreadsheetml/2006/main" count="73" uniqueCount="68">
  <si>
    <t>Market Premium</t>
  </si>
  <si>
    <t>Risk free rate</t>
  </si>
  <si>
    <t>Beta</t>
  </si>
  <si>
    <t>Cost of Equity</t>
  </si>
  <si>
    <t>Cost of Debt</t>
  </si>
  <si>
    <t xml:space="preserve">Tax Rate </t>
  </si>
  <si>
    <t>Compoenent</t>
  </si>
  <si>
    <t xml:space="preserve">Cost </t>
  </si>
  <si>
    <t>Weight</t>
  </si>
  <si>
    <t>Weighted Cost</t>
  </si>
  <si>
    <t xml:space="preserve">Debt </t>
  </si>
  <si>
    <t>Equity (after tax)</t>
  </si>
  <si>
    <t>WACC</t>
  </si>
  <si>
    <t xml:space="preserve">Determination of Cost of Capital </t>
  </si>
  <si>
    <t>Proportion of Debt</t>
  </si>
  <si>
    <t>Proportion of Equity</t>
  </si>
  <si>
    <t>Year</t>
  </si>
  <si>
    <t>Unit Sales</t>
  </si>
  <si>
    <t>Sales Price per Unit</t>
  </si>
  <si>
    <t>Average Inflation</t>
  </si>
  <si>
    <t>per year</t>
  </si>
  <si>
    <t xml:space="preserve">Components &amp; Parts </t>
  </si>
  <si>
    <t>per Bus</t>
  </si>
  <si>
    <t xml:space="preserve">Units sold  </t>
  </si>
  <si>
    <t xml:space="preserve">Labor Cost  </t>
  </si>
  <si>
    <t>Selling Price</t>
  </si>
  <si>
    <t>Variable Costs:</t>
  </si>
  <si>
    <t>Particular</t>
  </si>
  <si>
    <t xml:space="preserve">Warranty cost </t>
  </si>
  <si>
    <t>per bus</t>
  </si>
  <si>
    <t>(only first 5 years)</t>
  </si>
  <si>
    <t>EBIT</t>
  </si>
  <si>
    <t>Tax expenses</t>
  </si>
  <si>
    <t xml:space="preserve">1. Revenue </t>
  </si>
  <si>
    <t>2. Total Variable Cost</t>
  </si>
  <si>
    <t xml:space="preserve">Total Labor cost </t>
  </si>
  <si>
    <t>Total cost of parts</t>
  </si>
  <si>
    <t>Price per engine</t>
  </si>
  <si>
    <t>Detroit Engine</t>
  </si>
  <si>
    <t>Marcus Engine</t>
  </si>
  <si>
    <t>Annual warranty cost</t>
  </si>
  <si>
    <t>Total Cost per Engine</t>
  </si>
  <si>
    <t>Total cost of engines</t>
  </si>
  <si>
    <r>
      <rPr>
        <b/>
        <sz val="11"/>
        <color theme="1"/>
        <rFont val="Calibri"/>
        <family val="2"/>
        <scheme val="minor"/>
      </rPr>
      <t>a</t>
    </r>
    <r>
      <rPr>
        <sz val="11"/>
        <color theme="1"/>
        <rFont val="Calibri"/>
        <family val="2"/>
        <scheme val="minor"/>
      </rPr>
      <t>. Labor cost per bus</t>
    </r>
  </si>
  <si>
    <r>
      <rPr>
        <b/>
        <sz val="11"/>
        <color theme="1"/>
        <rFont val="Calibri"/>
        <family val="2"/>
        <scheme val="minor"/>
      </rPr>
      <t>b</t>
    </r>
    <r>
      <rPr>
        <sz val="11"/>
        <color theme="1"/>
        <rFont val="Calibri"/>
        <family val="2"/>
        <scheme val="minor"/>
      </rPr>
      <t>. Parts cost per bus</t>
    </r>
  </si>
  <si>
    <r>
      <rPr>
        <b/>
        <sz val="11"/>
        <color theme="1"/>
        <rFont val="Calibri"/>
        <family val="2"/>
        <scheme val="minor"/>
      </rPr>
      <t>c</t>
    </r>
    <r>
      <rPr>
        <sz val="11"/>
        <color theme="1"/>
        <rFont val="Calibri"/>
        <family val="2"/>
        <scheme val="minor"/>
      </rPr>
      <t>. Engine cost per bus</t>
    </r>
  </si>
  <si>
    <t xml:space="preserve">3. Selling General &amp; Administrative </t>
  </si>
  <si>
    <t>4. Training Costs</t>
  </si>
  <si>
    <t>5. Warnty Cost</t>
  </si>
  <si>
    <r>
      <rPr>
        <b/>
        <sz val="11"/>
        <color theme="1"/>
        <rFont val="Calibri"/>
        <family val="2"/>
        <scheme val="minor"/>
      </rPr>
      <t>a</t>
    </r>
    <r>
      <rPr>
        <sz val="11"/>
        <color theme="1"/>
        <rFont val="Calibri"/>
        <family val="2"/>
        <scheme val="minor"/>
      </rPr>
      <t>. Bus warantry cost</t>
    </r>
  </si>
  <si>
    <r>
      <rPr>
        <b/>
        <sz val="11"/>
        <color theme="1"/>
        <rFont val="Calibri"/>
        <family val="2"/>
        <scheme val="minor"/>
      </rPr>
      <t>b</t>
    </r>
    <r>
      <rPr>
        <sz val="11"/>
        <color theme="1"/>
        <rFont val="Calibri"/>
        <family val="2"/>
        <scheme val="minor"/>
      </rPr>
      <t>. Engine warnty cost</t>
    </r>
  </si>
  <si>
    <t>6. Depreciation</t>
  </si>
  <si>
    <t>7. Working Capital Needs</t>
  </si>
  <si>
    <t>Profit after Tax</t>
  </si>
  <si>
    <t>Add: Depreciation</t>
  </si>
  <si>
    <t>Add: Change in WC</t>
  </si>
  <si>
    <t>Net Project Cash Flows</t>
  </si>
  <si>
    <t>Net Cash Inflows</t>
  </si>
  <si>
    <t>Cash Outflows</t>
  </si>
  <si>
    <t>PV Factor @ 12.3%</t>
  </si>
  <si>
    <t>Net Cash Flows</t>
  </si>
  <si>
    <t>Present Value</t>
  </si>
  <si>
    <t>Net Present Value (NPV)</t>
  </si>
  <si>
    <t>Internal Rate of Return (IRR)</t>
  </si>
  <si>
    <t>Investment in Building &amp; Equipement</t>
  </si>
  <si>
    <t>Investment in Training</t>
  </si>
  <si>
    <t>Total Investment Costs</t>
  </si>
  <si>
    <t>On the basis of these results, it can be concluded that the company should do the bus production project. It is beucase NPV for this project is positive  , which it has potential to provide positive returns on investment. IRR is lower than company's cost of captial, but still there is posibility of higher returns on investment. Due to this reason, it is recommended that company should invest in the bus production project.</t>
  </si>
</sst>
</file>

<file path=xl/styles.xml><?xml version="1.0" encoding="utf-8"?>
<styleSheet xmlns="http://schemas.openxmlformats.org/spreadsheetml/2006/main">
  <numFmts count="3">
    <numFmt numFmtId="6" formatCode="&quot;$&quot;#,##0_);[Red]\(&quot;$&quot;#,##0\)"/>
    <numFmt numFmtId="165" formatCode="0.0%"/>
    <numFmt numFmtId="169" formatCode="0.0000"/>
  </numFmts>
  <fonts count="8">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u/>
      <sz val="11"/>
      <color theme="1"/>
      <name val="Calibri"/>
      <family val="2"/>
      <scheme val="minor"/>
    </font>
    <font>
      <sz val="8"/>
      <color indexed="81"/>
      <name val="Tahoma"/>
      <family val="2"/>
    </font>
    <font>
      <b/>
      <sz val="8"/>
      <color indexed="81"/>
      <name val="Tahoma"/>
      <family val="2"/>
    </font>
    <font>
      <u val="double"/>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10" fontId="0" fillId="0" borderId="0" xfId="0" applyNumberFormat="1"/>
    <xf numFmtId="0" fontId="0" fillId="0" borderId="1" xfId="0" applyBorder="1"/>
    <xf numFmtId="10" fontId="0" fillId="0" borderId="1" xfId="0" applyNumberFormat="1" applyBorder="1"/>
    <xf numFmtId="0" fontId="2" fillId="2" borderId="1" xfId="0" applyFont="1" applyFill="1" applyBorder="1"/>
    <xf numFmtId="10" fontId="2" fillId="2" borderId="1" xfId="0" applyNumberFormat="1" applyFont="1" applyFill="1" applyBorder="1"/>
    <xf numFmtId="9" fontId="0" fillId="0" borderId="1" xfId="0" applyNumberFormat="1" applyBorder="1"/>
    <xf numFmtId="0" fontId="2" fillId="0" borderId="1" xfId="0" applyFont="1" applyBorder="1" applyAlignment="1">
      <alignment horizontal="center"/>
    </xf>
    <xf numFmtId="3" fontId="0" fillId="0" borderId="1" xfId="0" applyNumberFormat="1" applyBorder="1"/>
    <xf numFmtId="2" fontId="0" fillId="0" borderId="1" xfId="0" applyNumberFormat="1" applyBorder="1"/>
    <xf numFmtId="10" fontId="0" fillId="0" borderId="1" xfId="1" applyNumberFormat="1" applyFont="1" applyBorder="1"/>
    <xf numFmtId="10" fontId="2" fillId="3" borderId="1" xfId="1" applyNumberFormat="1" applyFont="1" applyFill="1" applyBorder="1"/>
    <xf numFmtId="0" fontId="2" fillId="0" borderId="1" xfId="0" applyFont="1" applyBorder="1"/>
    <xf numFmtId="1" fontId="0" fillId="0" borderId="1" xfId="0" applyNumberFormat="1" applyBorder="1"/>
    <xf numFmtId="0" fontId="2" fillId="4" borderId="2" xfId="0" applyFont="1" applyFill="1" applyBorder="1" applyAlignment="1">
      <alignment horizontal="center"/>
    </xf>
    <xf numFmtId="0" fontId="2" fillId="4" borderId="1" xfId="0" applyFont="1" applyFill="1" applyBorder="1" applyAlignment="1">
      <alignment horizontal="center" vertical="center"/>
    </xf>
    <xf numFmtId="0" fontId="2" fillId="4" borderId="1" xfId="0" applyFont="1" applyFill="1" applyBorder="1" applyAlignment="1">
      <alignment horizontal="center"/>
    </xf>
    <xf numFmtId="0" fontId="2" fillId="4" borderId="1" xfId="0" applyFont="1" applyFill="1" applyBorder="1" applyAlignment="1">
      <alignment horizontal="center" vertical="center"/>
    </xf>
    <xf numFmtId="0" fontId="2" fillId="3" borderId="1" xfId="0" applyFont="1" applyFill="1" applyBorder="1" applyAlignment="1">
      <alignment horizontal="center"/>
    </xf>
    <xf numFmtId="0" fontId="3" fillId="5" borderId="0" xfId="0" applyFont="1" applyFill="1" applyAlignment="1">
      <alignment horizontal="center"/>
    </xf>
    <xf numFmtId="0" fontId="4" fillId="0" borderId="0" xfId="0" applyFont="1"/>
    <xf numFmtId="0" fontId="2" fillId="7" borderId="1" xfId="0" applyFont="1" applyFill="1" applyBorder="1"/>
    <xf numFmtId="0" fontId="0" fillId="2" borderId="1" xfId="0" applyFont="1" applyFill="1" applyBorder="1"/>
    <xf numFmtId="3" fontId="0" fillId="2" borderId="1" xfId="0" applyNumberFormat="1" applyFont="1" applyFill="1" applyBorder="1"/>
    <xf numFmtId="0" fontId="0" fillId="7" borderId="1" xfId="0" applyFill="1" applyBorder="1"/>
    <xf numFmtId="3" fontId="0" fillId="7" borderId="1" xfId="0" applyNumberFormat="1" applyFill="1" applyBorder="1"/>
    <xf numFmtId="1" fontId="0" fillId="7" borderId="1" xfId="0" applyNumberFormat="1" applyFill="1" applyBorder="1"/>
    <xf numFmtId="0" fontId="0" fillId="8" borderId="1" xfId="0" applyFill="1" applyBorder="1"/>
    <xf numFmtId="1" fontId="0" fillId="8" borderId="1" xfId="0" applyNumberFormat="1" applyFill="1" applyBorder="1"/>
    <xf numFmtId="1" fontId="2" fillId="0" borderId="1" xfId="0" applyNumberFormat="1" applyFont="1" applyBorder="1"/>
    <xf numFmtId="1" fontId="2" fillId="7" borderId="1" xfId="0" applyNumberFormat="1" applyFont="1" applyFill="1" applyBorder="1"/>
    <xf numFmtId="1" fontId="2" fillId="3" borderId="1" xfId="0" applyNumberFormat="1" applyFont="1" applyFill="1" applyBorder="1"/>
    <xf numFmtId="0" fontId="2" fillId="3" borderId="1" xfId="0" applyFont="1" applyFill="1" applyBorder="1"/>
    <xf numFmtId="0" fontId="7" fillId="0" borderId="1" xfId="0" applyFont="1" applyBorder="1"/>
    <xf numFmtId="1" fontId="7" fillId="0" borderId="1" xfId="0" applyNumberFormat="1" applyFont="1" applyBorder="1"/>
    <xf numFmtId="165" fontId="2" fillId="2" borderId="1" xfId="0" applyNumberFormat="1" applyFont="1" applyFill="1" applyBorder="1"/>
    <xf numFmtId="0" fontId="2" fillId="4" borderId="2" xfId="0" applyFont="1" applyFill="1" applyBorder="1" applyAlignment="1">
      <alignment horizontal="center" vertical="center"/>
    </xf>
    <xf numFmtId="165" fontId="2" fillId="3" borderId="1" xfId="0" applyNumberFormat="1" applyFont="1" applyFill="1" applyBorder="1"/>
    <xf numFmtId="0" fontId="2" fillId="4" borderId="2" xfId="0" applyFont="1" applyFill="1" applyBorder="1" applyAlignment="1">
      <alignment horizontal="center" vertical="center"/>
    </xf>
    <xf numFmtId="169" fontId="0" fillId="0" borderId="1" xfId="0" applyNumberFormat="1" applyBorder="1"/>
    <xf numFmtId="6" fontId="0" fillId="0" borderId="1" xfId="0" applyNumberFormat="1" applyBorder="1"/>
    <xf numFmtId="0" fontId="2" fillId="9" borderId="1" xfId="0" applyFont="1" applyFill="1" applyBorder="1"/>
    <xf numFmtId="6" fontId="2" fillId="9" borderId="1" xfId="0" applyNumberFormat="1" applyFont="1" applyFill="1" applyBorder="1"/>
    <xf numFmtId="0" fontId="2" fillId="6" borderId="0" xfId="0" applyFont="1" applyFill="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V36"/>
  <sheetViews>
    <sheetView tabSelected="1" workbookViewId="0">
      <selection activeCell="B9" sqref="B9:V10"/>
    </sheetView>
  </sheetViews>
  <sheetFormatPr defaultRowHeight="15"/>
  <cols>
    <col min="1" max="1" width="9.140625" customWidth="1"/>
    <col min="2" max="2" width="33" bestFit="1" customWidth="1"/>
    <col min="3" max="8" width="12.7109375" customWidth="1"/>
    <col min="9" max="10" width="13.85546875" bestFit="1" customWidth="1"/>
    <col min="11" max="22" width="12.7109375" customWidth="1"/>
  </cols>
  <sheetData>
    <row r="2" spans="2:22">
      <c r="B2" s="2" t="s">
        <v>25</v>
      </c>
      <c r="C2" s="8">
        <v>220000</v>
      </c>
      <c r="D2" s="2" t="s">
        <v>22</v>
      </c>
      <c r="I2" s="12" t="s">
        <v>38</v>
      </c>
      <c r="J2" s="12" t="s">
        <v>39</v>
      </c>
    </row>
    <row r="3" spans="2:22">
      <c r="B3" s="2" t="s">
        <v>23</v>
      </c>
      <c r="C3" s="8">
        <v>11000</v>
      </c>
      <c r="D3" s="2" t="s">
        <v>20</v>
      </c>
      <c r="G3" s="2" t="s">
        <v>37</v>
      </c>
      <c r="H3" s="2"/>
      <c r="I3" s="2">
        <v>20000</v>
      </c>
      <c r="J3" s="2">
        <v>18000</v>
      </c>
    </row>
    <row r="4" spans="2:22">
      <c r="B4" s="2" t="s">
        <v>24</v>
      </c>
      <c r="C4" s="8">
        <v>50000</v>
      </c>
      <c r="D4" s="2" t="s">
        <v>22</v>
      </c>
      <c r="G4" s="2" t="s">
        <v>40</v>
      </c>
      <c r="H4" s="2"/>
      <c r="I4" s="2">
        <v>1000</v>
      </c>
      <c r="J4" s="2">
        <v>1500</v>
      </c>
    </row>
    <row r="5" spans="2:22">
      <c r="B5" s="2" t="s">
        <v>21</v>
      </c>
      <c r="C5" s="8">
        <v>95000</v>
      </c>
      <c r="D5" s="2" t="s">
        <v>22</v>
      </c>
      <c r="G5" s="2" t="s">
        <v>41</v>
      </c>
      <c r="H5" s="2"/>
      <c r="I5" s="2">
        <f>I3+I4</f>
        <v>21000</v>
      </c>
      <c r="J5" s="2">
        <f>J3+J4</f>
        <v>19500</v>
      </c>
    </row>
    <row r="6" spans="2:22">
      <c r="B6" s="2" t="s">
        <v>28</v>
      </c>
      <c r="C6" s="8">
        <v>1000</v>
      </c>
      <c r="D6" s="2" t="s">
        <v>29</v>
      </c>
      <c r="E6" t="s">
        <v>30</v>
      </c>
    </row>
    <row r="7" spans="2:22">
      <c r="B7" s="2" t="s">
        <v>19</v>
      </c>
      <c r="C7" s="3">
        <v>3.5000000000000003E-2</v>
      </c>
      <c r="D7" s="2" t="s">
        <v>20</v>
      </c>
    </row>
    <row r="9" spans="2:22">
      <c r="B9" s="17" t="s">
        <v>27</v>
      </c>
      <c r="C9" s="16" t="s">
        <v>16</v>
      </c>
      <c r="D9" s="16"/>
      <c r="E9" s="16"/>
      <c r="F9" s="16"/>
      <c r="G9" s="16"/>
      <c r="H9" s="16"/>
      <c r="I9" s="16"/>
      <c r="J9" s="16"/>
      <c r="K9" s="16"/>
      <c r="L9" s="16"/>
      <c r="M9" s="16"/>
      <c r="N9" s="16"/>
      <c r="O9" s="16"/>
      <c r="P9" s="16"/>
      <c r="Q9" s="16"/>
      <c r="R9" s="16"/>
      <c r="S9" s="16"/>
      <c r="T9" s="16"/>
      <c r="U9" s="16"/>
      <c r="V9" s="16"/>
    </row>
    <row r="10" spans="2:22">
      <c r="B10" s="17"/>
      <c r="C10" s="14">
        <v>1</v>
      </c>
      <c r="D10" s="14">
        <v>2</v>
      </c>
      <c r="E10" s="14">
        <v>3</v>
      </c>
      <c r="F10" s="14">
        <v>4</v>
      </c>
      <c r="G10" s="14">
        <v>5</v>
      </c>
      <c r="H10" s="14">
        <v>6</v>
      </c>
      <c r="I10" s="14">
        <v>7</v>
      </c>
      <c r="J10" s="14">
        <v>8</v>
      </c>
      <c r="K10" s="14">
        <v>9</v>
      </c>
      <c r="L10" s="14">
        <v>10</v>
      </c>
      <c r="M10" s="14">
        <v>11</v>
      </c>
      <c r="N10" s="14">
        <v>12</v>
      </c>
      <c r="O10" s="14">
        <v>13</v>
      </c>
      <c r="P10" s="14">
        <v>14</v>
      </c>
      <c r="Q10" s="14">
        <v>15</v>
      </c>
      <c r="R10" s="14">
        <v>16</v>
      </c>
      <c r="S10" s="14">
        <v>17</v>
      </c>
      <c r="T10" s="14">
        <v>18</v>
      </c>
      <c r="U10" s="14">
        <v>19</v>
      </c>
      <c r="V10" s="14">
        <v>20</v>
      </c>
    </row>
    <row r="11" spans="2:22">
      <c r="B11" s="22" t="s">
        <v>17</v>
      </c>
      <c r="C11" s="23">
        <f>$C$3</f>
        <v>11000</v>
      </c>
      <c r="D11" s="23">
        <f t="shared" ref="D11:V11" si="0">$C$3</f>
        <v>11000</v>
      </c>
      <c r="E11" s="23">
        <f t="shared" si="0"/>
        <v>11000</v>
      </c>
      <c r="F11" s="23">
        <f t="shared" si="0"/>
        <v>11000</v>
      </c>
      <c r="G11" s="23">
        <f t="shared" si="0"/>
        <v>11000</v>
      </c>
      <c r="H11" s="23">
        <f t="shared" si="0"/>
        <v>11000</v>
      </c>
      <c r="I11" s="23">
        <f t="shared" si="0"/>
        <v>11000</v>
      </c>
      <c r="J11" s="23">
        <f t="shared" si="0"/>
        <v>11000</v>
      </c>
      <c r="K11" s="23">
        <f t="shared" si="0"/>
        <v>11000</v>
      </c>
      <c r="L11" s="23">
        <f t="shared" si="0"/>
        <v>11000</v>
      </c>
      <c r="M11" s="23">
        <f t="shared" si="0"/>
        <v>11000</v>
      </c>
      <c r="N11" s="23">
        <f t="shared" si="0"/>
        <v>11000</v>
      </c>
      <c r="O11" s="23">
        <f t="shared" si="0"/>
        <v>11000</v>
      </c>
      <c r="P11" s="23">
        <f t="shared" si="0"/>
        <v>11000</v>
      </c>
      <c r="Q11" s="23">
        <f t="shared" si="0"/>
        <v>11000</v>
      </c>
      <c r="R11" s="23">
        <f t="shared" si="0"/>
        <v>11000</v>
      </c>
      <c r="S11" s="23">
        <f t="shared" si="0"/>
        <v>11000</v>
      </c>
      <c r="T11" s="23">
        <f t="shared" si="0"/>
        <v>11000</v>
      </c>
      <c r="U11" s="23">
        <f t="shared" si="0"/>
        <v>11000</v>
      </c>
      <c r="V11" s="23">
        <f t="shared" si="0"/>
        <v>11000</v>
      </c>
    </row>
    <row r="12" spans="2:22">
      <c r="B12" s="22" t="s">
        <v>18</v>
      </c>
      <c r="C12" s="23">
        <f>$C$2</f>
        <v>220000</v>
      </c>
      <c r="D12" s="23">
        <f t="shared" ref="D12:V12" si="1">C12*(1+$C$7)</f>
        <v>227699.99999999997</v>
      </c>
      <c r="E12" s="23">
        <f t="shared" si="1"/>
        <v>235669.49999999994</v>
      </c>
      <c r="F12" s="23">
        <f t="shared" si="1"/>
        <v>243917.93249999991</v>
      </c>
      <c r="G12" s="23">
        <f t="shared" si="1"/>
        <v>252455.06013749988</v>
      </c>
      <c r="H12" s="23">
        <f t="shared" si="1"/>
        <v>261290.98724231235</v>
      </c>
      <c r="I12" s="23">
        <f t="shared" si="1"/>
        <v>270436.17179579329</v>
      </c>
      <c r="J12" s="23">
        <f t="shared" si="1"/>
        <v>279901.43780864601</v>
      </c>
      <c r="K12" s="23">
        <f t="shared" si="1"/>
        <v>289697.98813194857</v>
      </c>
      <c r="L12" s="23">
        <f t="shared" si="1"/>
        <v>299837.41771656676</v>
      </c>
      <c r="M12" s="23">
        <f t="shared" si="1"/>
        <v>310331.72733664658</v>
      </c>
      <c r="N12" s="23">
        <f t="shared" si="1"/>
        <v>321193.33779342921</v>
      </c>
      <c r="O12" s="23">
        <f t="shared" si="1"/>
        <v>332435.10461619921</v>
      </c>
      <c r="P12" s="23">
        <f t="shared" si="1"/>
        <v>344070.33327776619</v>
      </c>
      <c r="Q12" s="23">
        <f t="shared" si="1"/>
        <v>356112.79494248796</v>
      </c>
      <c r="R12" s="23">
        <f t="shared" si="1"/>
        <v>368576.74276547501</v>
      </c>
      <c r="S12" s="23">
        <f t="shared" si="1"/>
        <v>381476.92876226659</v>
      </c>
      <c r="T12" s="23">
        <f t="shared" si="1"/>
        <v>394828.62126894586</v>
      </c>
      <c r="U12" s="23">
        <f t="shared" si="1"/>
        <v>408647.62301335891</v>
      </c>
      <c r="V12" s="23">
        <f t="shared" si="1"/>
        <v>422950.28981882642</v>
      </c>
    </row>
    <row r="13" spans="2:22">
      <c r="B13" s="4" t="s">
        <v>33</v>
      </c>
      <c r="C13" s="4">
        <f>C11*C12</f>
        <v>2420000000</v>
      </c>
      <c r="D13" s="4">
        <f t="shared" ref="D13:V13" si="2">D11*D12</f>
        <v>2504699999.9999995</v>
      </c>
      <c r="E13" s="4">
        <f t="shared" si="2"/>
        <v>2592364499.9999995</v>
      </c>
      <c r="F13" s="4">
        <f t="shared" si="2"/>
        <v>2683097257.499999</v>
      </c>
      <c r="G13" s="4">
        <f t="shared" si="2"/>
        <v>2777005661.5124989</v>
      </c>
      <c r="H13" s="4">
        <f t="shared" si="2"/>
        <v>2874200859.6654358</v>
      </c>
      <c r="I13" s="4">
        <f t="shared" si="2"/>
        <v>2974797889.753726</v>
      </c>
      <c r="J13" s="4">
        <f t="shared" si="2"/>
        <v>3078915815.8951058</v>
      </c>
      <c r="K13" s="4">
        <f t="shared" si="2"/>
        <v>3186677869.4514341</v>
      </c>
      <c r="L13" s="4">
        <f t="shared" si="2"/>
        <v>3298211594.8822346</v>
      </c>
      <c r="M13" s="4">
        <f t="shared" si="2"/>
        <v>3413649000.7031126</v>
      </c>
      <c r="N13" s="4">
        <f t="shared" si="2"/>
        <v>3533126715.7277212</v>
      </c>
      <c r="O13" s="4">
        <f t="shared" si="2"/>
        <v>3656786150.7781916</v>
      </c>
      <c r="P13" s="4">
        <f t="shared" si="2"/>
        <v>3784773666.055428</v>
      </c>
      <c r="Q13" s="4">
        <f t="shared" si="2"/>
        <v>3917240744.3673677</v>
      </c>
      <c r="R13" s="4">
        <f t="shared" si="2"/>
        <v>4054344170.4202251</v>
      </c>
      <c r="S13" s="4">
        <f t="shared" si="2"/>
        <v>4196246216.3849325</v>
      </c>
      <c r="T13" s="4">
        <f t="shared" si="2"/>
        <v>4343114833.9584045</v>
      </c>
      <c r="U13" s="4">
        <f t="shared" si="2"/>
        <v>4495123853.1469479</v>
      </c>
      <c r="V13" s="4">
        <f t="shared" si="2"/>
        <v>4652453188.0070906</v>
      </c>
    </row>
    <row r="14" spans="2:22">
      <c r="B14" s="20" t="s">
        <v>26</v>
      </c>
    </row>
    <row r="15" spans="2:22">
      <c r="B15" s="24" t="s">
        <v>43</v>
      </c>
      <c r="C15" s="25">
        <f>C4</f>
        <v>50000</v>
      </c>
      <c r="D15" s="26">
        <f>C15*(1+$C$7)</f>
        <v>51749.999999999993</v>
      </c>
      <c r="E15" s="26">
        <f>D15*(1+$C$7)</f>
        <v>53561.249999999985</v>
      </c>
      <c r="F15" s="26">
        <f t="shared" ref="F15:V15" si="3">E15*(1+$C$7)</f>
        <v>55435.893749999981</v>
      </c>
      <c r="G15" s="26">
        <f t="shared" si="3"/>
        <v>57376.150031249977</v>
      </c>
      <c r="H15" s="26">
        <f t="shared" si="3"/>
        <v>59384.315282343719</v>
      </c>
      <c r="I15" s="26">
        <f t="shared" si="3"/>
        <v>61462.766317225745</v>
      </c>
      <c r="J15" s="26">
        <f t="shared" si="3"/>
        <v>63613.96313832864</v>
      </c>
      <c r="K15" s="26">
        <f t="shared" si="3"/>
        <v>65840.451848170138</v>
      </c>
      <c r="L15" s="26">
        <f t="shared" si="3"/>
        <v>68144.867662856093</v>
      </c>
      <c r="M15" s="26">
        <f t="shared" si="3"/>
        <v>70529.938031056052</v>
      </c>
      <c r="N15" s="26">
        <f t="shared" si="3"/>
        <v>72998.485862143003</v>
      </c>
      <c r="O15" s="26">
        <f t="shared" si="3"/>
        <v>75553.432867317999</v>
      </c>
      <c r="P15" s="26">
        <f t="shared" si="3"/>
        <v>78197.803017674116</v>
      </c>
      <c r="Q15" s="26">
        <f t="shared" si="3"/>
        <v>80934.726123292698</v>
      </c>
      <c r="R15" s="26">
        <f t="shared" si="3"/>
        <v>83767.441537607941</v>
      </c>
      <c r="S15" s="26">
        <f t="shared" si="3"/>
        <v>86699.301991424218</v>
      </c>
      <c r="T15" s="26">
        <f t="shared" si="3"/>
        <v>89733.777561124065</v>
      </c>
      <c r="U15" s="26">
        <f t="shared" si="3"/>
        <v>92874.459775763404</v>
      </c>
      <c r="V15" s="26">
        <f t="shared" si="3"/>
        <v>96125.065867915109</v>
      </c>
    </row>
    <row r="16" spans="2:22">
      <c r="B16" s="24" t="s">
        <v>44</v>
      </c>
      <c r="C16" s="25">
        <f>C5</f>
        <v>95000</v>
      </c>
      <c r="D16" s="26">
        <f t="shared" ref="D16:V16" si="4">C16*(1+$C$7)</f>
        <v>98324.999999999985</v>
      </c>
      <c r="E16" s="26">
        <f t="shared" si="4"/>
        <v>101766.37499999997</v>
      </c>
      <c r="F16" s="26">
        <f t="shared" si="4"/>
        <v>105328.19812499997</v>
      </c>
      <c r="G16" s="26">
        <f t="shared" si="4"/>
        <v>109014.68505937496</v>
      </c>
      <c r="H16" s="26">
        <f t="shared" si="4"/>
        <v>112830.19903645306</v>
      </c>
      <c r="I16" s="26">
        <f t="shared" si="4"/>
        <v>116779.25600272891</v>
      </c>
      <c r="J16" s="26">
        <f t="shared" si="4"/>
        <v>120866.52996282441</v>
      </c>
      <c r="K16" s="26">
        <f t="shared" si="4"/>
        <v>125096.85851152326</v>
      </c>
      <c r="L16" s="26">
        <f t="shared" si="4"/>
        <v>129475.24855942656</v>
      </c>
      <c r="M16" s="26">
        <f t="shared" si="4"/>
        <v>134006.88225900647</v>
      </c>
      <c r="N16" s="26">
        <f t="shared" si="4"/>
        <v>138697.12313807168</v>
      </c>
      <c r="O16" s="26">
        <f t="shared" si="4"/>
        <v>143551.52244790416</v>
      </c>
      <c r="P16" s="26">
        <f t="shared" si="4"/>
        <v>148575.8257335808</v>
      </c>
      <c r="Q16" s="26">
        <f t="shared" si="4"/>
        <v>153775.97963425613</v>
      </c>
      <c r="R16" s="26">
        <f t="shared" si="4"/>
        <v>159158.13892145507</v>
      </c>
      <c r="S16" s="26">
        <f t="shared" si="4"/>
        <v>164728.67378370598</v>
      </c>
      <c r="T16" s="26">
        <f t="shared" si="4"/>
        <v>170494.17736613567</v>
      </c>
      <c r="U16" s="26">
        <f t="shared" si="4"/>
        <v>176461.47357395041</v>
      </c>
      <c r="V16" s="26">
        <f t="shared" si="4"/>
        <v>182637.62514903865</v>
      </c>
    </row>
    <row r="17" spans="2:22">
      <c r="B17" s="24" t="s">
        <v>45</v>
      </c>
      <c r="C17" s="25">
        <f>J3</f>
        <v>18000</v>
      </c>
      <c r="D17" s="26">
        <f>C17*(1+$C$7)</f>
        <v>18630</v>
      </c>
      <c r="E17" s="26">
        <f t="shared" ref="E17:U17" si="5">D17*(1+$C$7)</f>
        <v>19282.05</v>
      </c>
      <c r="F17" s="26">
        <f t="shared" si="5"/>
        <v>19956.921749999998</v>
      </c>
      <c r="G17" s="26">
        <f t="shared" si="5"/>
        <v>20655.414011249995</v>
      </c>
      <c r="H17" s="26">
        <f t="shared" si="5"/>
        <v>21378.353501643742</v>
      </c>
      <c r="I17" s="26">
        <f t="shared" si="5"/>
        <v>22126.59587420127</v>
      </c>
      <c r="J17" s="26">
        <f t="shared" si="5"/>
        <v>22901.026729798312</v>
      </c>
      <c r="K17" s="26">
        <f t="shared" si="5"/>
        <v>23702.562665341251</v>
      </c>
      <c r="L17" s="26">
        <f t="shared" si="5"/>
        <v>24532.152358628195</v>
      </c>
      <c r="M17" s="26">
        <f t="shared" si="5"/>
        <v>25390.777691180181</v>
      </c>
      <c r="N17" s="26">
        <f t="shared" si="5"/>
        <v>26279.454910371485</v>
      </c>
      <c r="O17" s="26">
        <f t="shared" si="5"/>
        <v>27199.235832234484</v>
      </c>
      <c r="P17" s="26">
        <f t="shared" si="5"/>
        <v>28151.209086362691</v>
      </c>
      <c r="Q17" s="26">
        <f t="shared" si="5"/>
        <v>29136.501404385384</v>
      </c>
      <c r="R17" s="26">
        <f t="shared" si="5"/>
        <v>30156.278953538869</v>
      </c>
      <c r="S17" s="26">
        <f t="shared" si="5"/>
        <v>31211.748716912727</v>
      </c>
      <c r="T17" s="26">
        <f t="shared" si="5"/>
        <v>32304.15992200467</v>
      </c>
      <c r="U17" s="26">
        <f t="shared" si="5"/>
        <v>33434.805519274829</v>
      </c>
      <c r="V17" s="26">
        <f>U17*(1+$C$7)</f>
        <v>34605.023712449445</v>
      </c>
    </row>
    <row r="18" spans="2:22">
      <c r="B18" s="27" t="s">
        <v>35</v>
      </c>
      <c r="C18" s="27">
        <f>C15*C11</f>
        <v>550000000</v>
      </c>
      <c r="D18" s="27">
        <f>D15*D11</f>
        <v>569249999.99999988</v>
      </c>
      <c r="E18" s="28">
        <f>E15*E11</f>
        <v>589173749.99999988</v>
      </c>
      <c r="F18" s="28">
        <f>F15*F11</f>
        <v>609794831.24999976</v>
      </c>
      <c r="G18" s="28">
        <f>G15*G11</f>
        <v>631137650.34374976</v>
      </c>
      <c r="H18" s="28">
        <f>H15*H11</f>
        <v>653227468.10578096</v>
      </c>
      <c r="I18" s="28">
        <f>I15*I11</f>
        <v>676090429.48948324</v>
      </c>
      <c r="J18" s="28">
        <f>J15*J11</f>
        <v>699753594.52161503</v>
      </c>
      <c r="K18" s="28">
        <f>K15*K11</f>
        <v>724244970.32987154</v>
      </c>
      <c r="L18" s="28">
        <f>L15*L11</f>
        <v>749593544.291417</v>
      </c>
      <c r="M18" s="28">
        <f>M15*M11</f>
        <v>775829318.34161651</v>
      </c>
      <c r="N18" s="28">
        <f>N15*N11</f>
        <v>802983344.48357308</v>
      </c>
      <c r="O18" s="28">
        <f>O15*O11</f>
        <v>831087761.54049802</v>
      </c>
      <c r="P18" s="28">
        <f>P15*P11</f>
        <v>860175833.19441533</v>
      </c>
      <c r="Q18" s="28">
        <f>Q15*Q11</f>
        <v>890281987.35621965</v>
      </c>
      <c r="R18" s="28">
        <f>R15*R11</f>
        <v>921441856.91368735</v>
      </c>
      <c r="S18" s="28">
        <f>S15*S11</f>
        <v>953692321.90566635</v>
      </c>
      <c r="T18" s="28">
        <f>T15*T11</f>
        <v>987071553.17236471</v>
      </c>
      <c r="U18" s="28">
        <f>U15*U11</f>
        <v>1021619057.5333974</v>
      </c>
      <c r="V18" s="28">
        <f>V15*V11</f>
        <v>1057375724.5470662</v>
      </c>
    </row>
    <row r="19" spans="2:22">
      <c r="B19" s="27" t="s">
        <v>36</v>
      </c>
      <c r="C19" s="28">
        <f>C16*C11</f>
        <v>1045000000</v>
      </c>
      <c r="D19" s="28">
        <f>D16*D11</f>
        <v>1081574999.9999998</v>
      </c>
      <c r="E19" s="28">
        <f>E16*E11</f>
        <v>1119430124.9999998</v>
      </c>
      <c r="F19" s="28">
        <f>F16*F11</f>
        <v>1158610179.3749995</v>
      </c>
      <c r="G19" s="28">
        <f>G16*G11</f>
        <v>1199161535.6531246</v>
      </c>
      <c r="H19" s="28">
        <f>H16*H11</f>
        <v>1241132189.4009838</v>
      </c>
      <c r="I19" s="28">
        <f>I16*I11</f>
        <v>1284571816.0300181</v>
      </c>
      <c r="J19" s="28">
        <f>J16*J11</f>
        <v>1329531829.5910685</v>
      </c>
      <c r="K19" s="28">
        <f>K16*K11</f>
        <v>1376065443.6267557</v>
      </c>
      <c r="L19" s="28">
        <f>L16*L11</f>
        <v>1424227734.1536922</v>
      </c>
      <c r="M19" s="28">
        <f>M16*M11</f>
        <v>1474075704.849071</v>
      </c>
      <c r="N19" s="28">
        <f>N16*N11</f>
        <v>1525668354.5187886</v>
      </c>
      <c r="O19" s="28">
        <f>O16*O11</f>
        <v>1579066746.9269459</v>
      </c>
      <c r="P19" s="28">
        <f>P16*P11</f>
        <v>1634334083.0693889</v>
      </c>
      <c r="Q19" s="28">
        <f>Q16*Q11</f>
        <v>1691535775.9768174</v>
      </c>
      <c r="R19" s="28">
        <f>R16*R11</f>
        <v>1750739528.1360059</v>
      </c>
      <c r="S19" s="28">
        <f>S16*S11</f>
        <v>1812015411.6207657</v>
      </c>
      <c r="T19" s="28">
        <f>T16*T11</f>
        <v>1875435951.0274923</v>
      </c>
      <c r="U19" s="28">
        <f>U16*U11</f>
        <v>1941076209.3134546</v>
      </c>
      <c r="V19" s="28">
        <f>V16*V11</f>
        <v>2009013876.639425</v>
      </c>
    </row>
    <row r="20" spans="2:22">
      <c r="B20" s="27" t="s">
        <v>42</v>
      </c>
      <c r="C20" s="28">
        <f>C11*C17</f>
        <v>198000000</v>
      </c>
      <c r="D20" s="28">
        <f t="shared" ref="D20:U20" si="6">D11*D17</f>
        <v>204930000</v>
      </c>
      <c r="E20" s="28">
        <f t="shared" si="6"/>
        <v>212102550</v>
      </c>
      <c r="F20" s="28">
        <f t="shared" si="6"/>
        <v>219526139.24999997</v>
      </c>
      <c r="G20" s="28">
        <f t="shared" si="6"/>
        <v>227209554.12374994</v>
      </c>
      <c r="H20" s="28">
        <f t="shared" si="6"/>
        <v>235161888.51808116</v>
      </c>
      <c r="I20" s="28">
        <f t="shared" si="6"/>
        <v>243392554.61621398</v>
      </c>
      <c r="J20" s="28">
        <f t="shared" si="6"/>
        <v>251911294.02778143</v>
      </c>
      <c r="K20" s="28">
        <f t="shared" si="6"/>
        <v>260728189.31875375</v>
      </c>
      <c r="L20" s="28">
        <f t="shared" si="6"/>
        <v>269853675.94491017</v>
      </c>
      <c r="M20" s="28">
        <f t="shared" si="6"/>
        <v>279298554.60298198</v>
      </c>
      <c r="N20" s="28">
        <f t="shared" si="6"/>
        <v>289074004.01408637</v>
      </c>
      <c r="O20" s="28">
        <f t="shared" si="6"/>
        <v>299191594.15457934</v>
      </c>
      <c r="P20" s="28">
        <f t="shared" si="6"/>
        <v>309663299.94998962</v>
      </c>
      <c r="Q20" s="28">
        <f t="shared" si="6"/>
        <v>320501515.44823921</v>
      </c>
      <c r="R20" s="28">
        <f t="shared" si="6"/>
        <v>331719068.48892754</v>
      </c>
      <c r="S20" s="28">
        <f t="shared" si="6"/>
        <v>343329235.88603997</v>
      </c>
      <c r="T20" s="28">
        <f t="shared" si="6"/>
        <v>355345759.1420514</v>
      </c>
      <c r="U20" s="28">
        <f t="shared" si="6"/>
        <v>367782860.71202314</v>
      </c>
      <c r="V20" s="28">
        <f>V11*V17</f>
        <v>380655260.83694392</v>
      </c>
    </row>
    <row r="21" spans="2:22">
      <c r="B21" s="21" t="s">
        <v>34</v>
      </c>
      <c r="C21" s="30">
        <f>C18+C19+C20</f>
        <v>1793000000</v>
      </c>
      <c r="D21" s="30">
        <f t="shared" ref="D21:V21" si="7">D18+D19+D20</f>
        <v>1855754999.9999995</v>
      </c>
      <c r="E21" s="30">
        <f t="shared" si="7"/>
        <v>1920706424.9999995</v>
      </c>
      <c r="F21" s="30">
        <f t="shared" si="7"/>
        <v>1987931149.8749993</v>
      </c>
      <c r="G21" s="30">
        <f t="shared" si="7"/>
        <v>2057508740.1206243</v>
      </c>
      <c r="H21" s="30">
        <f t="shared" si="7"/>
        <v>2129521546.0248461</v>
      </c>
      <c r="I21" s="30">
        <f t="shared" si="7"/>
        <v>2204054800.135715</v>
      </c>
      <c r="J21" s="30">
        <f t="shared" si="7"/>
        <v>2281196718.1404648</v>
      </c>
      <c r="K21" s="30">
        <f t="shared" si="7"/>
        <v>2361038603.2753811</v>
      </c>
      <c r="L21" s="30">
        <f t="shared" si="7"/>
        <v>2443674954.3900194</v>
      </c>
      <c r="M21" s="30">
        <f t="shared" si="7"/>
        <v>2529203577.7936697</v>
      </c>
      <c r="N21" s="30">
        <f t="shared" si="7"/>
        <v>2617725703.016448</v>
      </c>
      <c r="O21" s="30">
        <f t="shared" si="7"/>
        <v>2709346102.6220231</v>
      </c>
      <c r="P21" s="30">
        <f t="shared" si="7"/>
        <v>2804173216.2137942</v>
      </c>
      <c r="Q21" s="30">
        <f t="shared" si="7"/>
        <v>2902319278.7812762</v>
      </c>
      <c r="R21" s="30">
        <f t="shared" si="7"/>
        <v>3003900453.5386205</v>
      </c>
      <c r="S21" s="30">
        <f t="shared" si="7"/>
        <v>3109036969.4124718</v>
      </c>
      <c r="T21" s="30">
        <f t="shared" si="7"/>
        <v>3217853263.341908</v>
      </c>
      <c r="U21" s="30">
        <f t="shared" si="7"/>
        <v>3330478127.5588756</v>
      </c>
      <c r="V21" s="30">
        <f t="shared" si="7"/>
        <v>3447044862.0234351</v>
      </c>
    </row>
    <row r="22" spans="2:22">
      <c r="B22" s="12" t="s">
        <v>46</v>
      </c>
      <c r="C22" s="12">
        <v>250000000</v>
      </c>
      <c r="D22" s="12">
        <v>250000000</v>
      </c>
      <c r="E22" s="12">
        <v>250000000</v>
      </c>
      <c r="F22" s="12">
        <v>250000000</v>
      </c>
      <c r="G22" s="12">
        <v>250000000</v>
      </c>
      <c r="H22" s="12">
        <v>250000000</v>
      </c>
      <c r="I22" s="12">
        <v>250000000</v>
      </c>
      <c r="J22" s="12">
        <v>250000000</v>
      </c>
      <c r="K22" s="12">
        <v>250000000</v>
      </c>
      <c r="L22" s="12">
        <v>250000000</v>
      </c>
      <c r="M22" s="12">
        <v>250000000</v>
      </c>
      <c r="N22" s="12">
        <v>250000000</v>
      </c>
      <c r="O22" s="12">
        <v>250000000</v>
      </c>
      <c r="P22" s="12">
        <v>250000000</v>
      </c>
      <c r="Q22" s="12">
        <v>250000000</v>
      </c>
      <c r="R22" s="12">
        <v>250000000</v>
      </c>
      <c r="S22" s="12">
        <v>250000000</v>
      </c>
      <c r="T22" s="12">
        <v>250000000</v>
      </c>
      <c r="U22" s="12">
        <v>250000000</v>
      </c>
      <c r="V22" s="12">
        <v>250000000</v>
      </c>
    </row>
    <row r="23" spans="2:22">
      <c r="B23" s="12" t="s">
        <v>47</v>
      </c>
      <c r="C23" s="12">
        <v>100000000</v>
      </c>
      <c r="D23" s="12">
        <v>100000000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row>
    <row r="24" spans="2:22">
      <c r="B24" s="12" t="s">
        <v>48</v>
      </c>
      <c r="C24" s="12">
        <f>C25+C26</f>
        <v>27500000</v>
      </c>
      <c r="D24" s="12">
        <f t="shared" ref="D24:V24" si="8">D25+D26</f>
        <v>27500000</v>
      </c>
      <c r="E24" s="12">
        <f t="shared" si="8"/>
        <v>27500000</v>
      </c>
      <c r="F24" s="12">
        <f t="shared" si="8"/>
        <v>27500000</v>
      </c>
      <c r="G24" s="12">
        <f t="shared" si="8"/>
        <v>27500000</v>
      </c>
      <c r="H24" s="12">
        <f t="shared" si="8"/>
        <v>0</v>
      </c>
      <c r="I24" s="12">
        <f t="shared" si="8"/>
        <v>0</v>
      </c>
      <c r="J24" s="12">
        <f t="shared" si="8"/>
        <v>0</v>
      </c>
      <c r="K24" s="12">
        <f t="shared" si="8"/>
        <v>0</v>
      </c>
      <c r="L24" s="12">
        <f t="shared" si="8"/>
        <v>0</v>
      </c>
      <c r="M24" s="12">
        <f t="shared" si="8"/>
        <v>0</v>
      </c>
      <c r="N24" s="12">
        <f t="shared" si="8"/>
        <v>0</v>
      </c>
      <c r="O24" s="12">
        <f t="shared" si="8"/>
        <v>0</v>
      </c>
      <c r="P24" s="12">
        <f t="shared" si="8"/>
        <v>0</v>
      </c>
      <c r="Q24" s="12">
        <f t="shared" si="8"/>
        <v>0</v>
      </c>
      <c r="R24" s="12">
        <f t="shared" si="8"/>
        <v>0</v>
      </c>
      <c r="S24" s="12">
        <f t="shared" si="8"/>
        <v>0</v>
      </c>
      <c r="T24" s="12">
        <f t="shared" si="8"/>
        <v>0</v>
      </c>
      <c r="U24" s="12">
        <f t="shared" si="8"/>
        <v>0</v>
      </c>
      <c r="V24" s="12">
        <f t="shared" si="8"/>
        <v>0</v>
      </c>
    </row>
    <row r="25" spans="2:22">
      <c r="B25" s="2" t="s">
        <v>49</v>
      </c>
      <c r="C25" s="2">
        <f>C11*$C$6</f>
        <v>11000000</v>
      </c>
      <c r="D25" s="2">
        <f>D11*$C$6</f>
        <v>11000000</v>
      </c>
      <c r="E25" s="2">
        <f>E11*$C$6</f>
        <v>11000000</v>
      </c>
      <c r="F25" s="2">
        <f>F11*$C$6</f>
        <v>11000000</v>
      </c>
      <c r="G25" s="2">
        <f>G11*$C$6</f>
        <v>11000000</v>
      </c>
      <c r="H25" s="2">
        <v>0</v>
      </c>
      <c r="I25" s="2">
        <v>0</v>
      </c>
      <c r="J25" s="2">
        <v>0</v>
      </c>
      <c r="K25" s="2">
        <v>0</v>
      </c>
      <c r="L25" s="2">
        <v>0</v>
      </c>
      <c r="M25" s="2">
        <v>0</v>
      </c>
      <c r="N25" s="2">
        <v>0</v>
      </c>
      <c r="O25" s="2">
        <v>0</v>
      </c>
      <c r="P25" s="2">
        <v>0</v>
      </c>
      <c r="Q25" s="2">
        <v>0</v>
      </c>
      <c r="R25" s="2">
        <v>0</v>
      </c>
      <c r="S25" s="2">
        <v>0</v>
      </c>
      <c r="T25" s="2">
        <v>0</v>
      </c>
      <c r="U25" s="2">
        <v>0</v>
      </c>
      <c r="V25" s="2">
        <v>0</v>
      </c>
    </row>
    <row r="26" spans="2:22">
      <c r="B26" s="2" t="s">
        <v>50</v>
      </c>
      <c r="C26" s="2">
        <f>$J$4*C11</f>
        <v>16500000</v>
      </c>
      <c r="D26" s="2">
        <f t="shared" ref="D26:F26" si="9">$J$4*D11</f>
        <v>16500000</v>
      </c>
      <c r="E26" s="2">
        <f t="shared" si="9"/>
        <v>16500000</v>
      </c>
      <c r="F26" s="2">
        <f t="shared" si="9"/>
        <v>16500000</v>
      </c>
      <c r="G26" s="2">
        <f>$J$4*G11</f>
        <v>16500000</v>
      </c>
      <c r="H26" s="2">
        <v>0</v>
      </c>
      <c r="I26" s="2">
        <v>0</v>
      </c>
      <c r="J26" s="2">
        <v>0</v>
      </c>
      <c r="K26" s="2">
        <v>0</v>
      </c>
      <c r="L26" s="2">
        <v>0</v>
      </c>
      <c r="M26" s="2">
        <v>0</v>
      </c>
      <c r="N26" s="2">
        <v>0</v>
      </c>
      <c r="O26" s="2">
        <v>0</v>
      </c>
      <c r="P26" s="2">
        <v>0</v>
      </c>
      <c r="Q26" s="2">
        <v>0</v>
      </c>
      <c r="R26" s="2">
        <v>0</v>
      </c>
      <c r="S26" s="2">
        <v>0</v>
      </c>
      <c r="T26" s="2">
        <v>0</v>
      </c>
      <c r="U26" s="2">
        <v>0</v>
      </c>
      <c r="V26" s="2">
        <v>0</v>
      </c>
    </row>
    <row r="27" spans="2:22">
      <c r="B27" s="12" t="s">
        <v>51</v>
      </c>
      <c r="C27" s="12">
        <v>50000000</v>
      </c>
      <c r="D27" s="12">
        <v>50000000</v>
      </c>
      <c r="E27" s="12">
        <v>50000000</v>
      </c>
      <c r="F27" s="12">
        <v>50000000</v>
      </c>
      <c r="G27" s="12">
        <v>50000000</v>
      </c>
      <c r="H27" s="12">
        <v>50000000</v>
      </c>
      <c r="I27" s="12">
        <v>50000000</v>
      </c>
      <c r="J27" s="12">
        <v>50000000</v>
      </c>
      <c r="K27" s="12">
        <v>50000000</v>
      </c>
      <c r="L27" s="12">
        <v>50000000</v>
      </c>
      <c r="M27" s="12">
        <v>50000000</v>
      </c>
      <c r="N27" s="12">
        <v>50000000</v>
      </c>
      <c r="O27" s="12">
        <v>50000000</v>
      </c>
      <c r="P27" s="12">
        <v>50000000</v>
      </c>
      <c r="Q27" s="12">
        <v>50000000</v>
      </c>
      <c r="R27" s="12">
        <v>50000000</v>
      </c>
      <c r="S27" s="12">
        <v>50000000</v>
      </c>
      <c r="T27" s="12">
        <v>50000000</v>
      </c>
      <c r="U27" s="12">
        <v>50000000</v>
      </c>
      <c r="V27" s="12">
        <v>50000000</v>
      </c>
    </row>
    <row r="28" spans="2:22">
      <c r="B28" s="12" t="s">
        <v>52</v>
      </c>
      <c r="C28" s="29">
        <f>C13*10%</f>
        <v>242000000</v>
      </c>
      <c r="D28" s="29">
        <f t="shared" ref="D28:V28" si="10">D13*10%</f>
        <v>250469999.99999997</v>
      </c>
      <c r="E28" s="29">
        <f t="shared" si="10"/>
        <v>259236449.99999997</v>
      </c>
      <c r="F28" s="29">
        <f t="shared" si="10"/>
        <v>268309725.74999991</v>
      </c>
      <c r="G28" s="29">
        <f t="shared" si="10"/>
        <v>277700566.15124989</v>
      </c>
      <c r="H28" s="29">
        <f t="shared" si="10"/>
        <v>287420085.96654361</v>
      </c>
      <c r="I28" s="29">
        <f t="shared" si="10"/>
        <v>297479788.97537261</v>
      </c>
      <c r="J28" s="29">
        <f t="shared" si="10"/>
        <v>307891581.58951062</v>
      </c>
      <c r="K28" s="29">
        <f t="shared" si="10"/>
        <v>318667786.9451434</v>
      </c>
      <c r="L28" s="29">
        <f t="shared" si="10"/>
        <v>329821159.48822349</v>
      </c>
      <c r="M28" s="29">
        <f t="shared" si="10"/>
        <v>341364900.07031131</v>
      </c>
      <c r="N28" s="29">
        <f t="shared" si="10"/>
        <v>353312671.57277215</v>
      </c>
      <c r="O28" s="29">
        <f t="shared" si="10"/>
        <v>365678615.07781917</v>
      </c>
      <c r="P28" s="29">
        <f t="shared" si="10"/>
        <v>378477366.60554284</v>
      </c>
      <c r="Q28" s="29">
        <f t="shared" si="10"/>
        <v>391724074.43673682</v>
      </c>
      <c r="R28" s="29">
        <f t="shared" si="10"/>
        <v>405434417.04202253</v>
      </c>
      <c r="S28" s="29">
        <f t="shared" si="10"/>
        <v>419624621.6384933</v>
      </c>
      <c r="T28" s="29">
        <f t="shared" si="10"/>
        <v>434311483.39584047</v>
      </c>
      <c r="U28" s="29">
        <f t="shared" si="10"/>
        <v>449512385.31469482</v>
      </c>
      <c r="V28" s="29">
        <f t="shared" si="10"/>
        <v>465245318.80070907</v>
      </c>
    </row>
    <row r="29" spans="2:22">
      <c r="B29" s="2"/>
      <c r="C29" s="2"/>
      <c r="D29" s="2"/>
      <c r="E29" s="2"/>
      <c r="F29" s="2"/>
      <c r="G29" s="2"/>
      <c r="H29" s="2"/>
      <c r="I29" s="2"/>
      <c r="J29" s="2"/>
      <c r="K29" s="2"/>
      <c r="L29" s="2"/>
      <c r="M29" s="2"/>
      <c r="N29" s="2"/>
      <c r="O29" s="2"/>
      <c r="P29" s="2"/>
      <c r="Q29" s="2"/>
      <c r="R29" s="2"/>
      <c r="S29" s="2"/>
      <c r="T29" s="2"/>
      <c r="U29" s="2"/>
      <c r="V29" s="2"/>
    </row>
    <row r="30" spans="2:22">
      <c r="B30" s="2" t="s">
        <v>31</v>
      </c>
      <c r="C30" s="13">
        <f>C13-C21-C22-C23-C24-C27</f>
        <v>199500000</v>
      </c>
      <c r="D30" s="13">
        <f t="shared" ref="D30:V30" si="11">D13-D21-D22-D23-D24-D27</f>
        <v>221445000</v>
      </c>
      <c r="E30" s="13">
        <f t="shared" si="11"/>
        <v>344158075</v>
      </c>
      <c r="F30" s="13">
        <f t="shared" si="11"/>
        <v>367666107.62499976</v>
      </c>
      <c r="G30" s="13">
        <f t="shared" si="11"/>
        <v>391996921.39187455</v>
      </c>
      <c r="H30" s="13">
        <f t="shared" si="11"/>
        <v>444679313.64058971</v>
      </c>
      <c r="I30" s="13">
        <f t="shared" si="11"/>
        <v>470743089.618011</v>
      </c>
      <c r="J30" s="13">
        <f t="shared" si="11"/>
        <v>497719097.75464106</v>
      </c>
      <c r="K30" s="13">
        <f t="shared" si="11"/>
        <v>525639266.17605305</v>
      </c>
      <c r="L30" s="13">
        <f t="shared" si="11"/>
        <v>554536640.49221516</v>
      </c>
      <c r="M30" s="13">
        <f t="shared" si="11"/>
        <v>584445422.9094429</v>
      </c>
      <c r="N30" s="13">
        <f t="shared" si="11"/>
        <v>615401012.71127319</v>
      </c>
      <c r="O30" s="13">
        <f t="shared" si="11"/>
        <v>647440048.15616846</v>
      </c>
      <c r="P30" s="13">
        <f t="shared" si="11"/>
        <v>680600449.8416338</v>
      </c>
      <c r="Q30" s="13">
        <f t="shared" si="11"/>
        <v>714921465.58609152</v>
      </c>
      <c r="R30" s="13">
        <f t="shared" si="11"/>
        <v>750443716.88160467</v>
      </c>
      <c r="S30" s="13">
        <f t="shared" si="11"/>
        <v>787209246.97246075</v>
      </c>
      <c r="T30" s="13">
        <f t="shared" si="11"/>
        <v>825261570.61649656</v>
      </c>
      <c r="U30" s="13">
        <f t="shared" si="11"/>
        <v>864645725.5880723</v>
      </c>
      <c r="V30" s="13">
        <f t="shared" si="11"/>
        <v>905408325.98365545</v>
      </c>
    </row>
    <row r="31" spans="2:22">
      <c r="B31" s="2" t="s">
        <v>32</v>
      </c>
      <c r="C31" s="13">
        <f>C30*40%</f>
        <v>79800000</v>
      </c>
      <c r="D31" s="13">
        <f t="shared" ref="D31:V31" si="12">D30*40%</f>
        <v>88578000</v>
      </c>
      <c r="E31" s="13">
        <f t="shared" si="12"/>
        <v>137663230</v>
      </c>
      <c r="F31" s="13">
        <f t="shared" si="12"/>
        <v>147066443.04999992</v>
      </c>
      <c r="G31" s="13">
        <f t="shared" si="12"/>
        <v>156798768.55674982</v>
      </c>
      <c r="H31" s="13">
        <f t="shared" si="12"/>
        <v>177871725.45623589</v>
      </c>
      <c r="I31" s="13">
        <f t="shared" si="12"/>
        <v>188297235.84720442</v>
      </c>
      <c r="J31" s="13">
        <f t="shared" si="12"/>
        <v>199087639.10185644</v>
      </c>
      <c r="K31" s="13">
        <f t="shared" si="12"/>
        <v>210255706.47042122</v>
      </c>
      <c r="L31" s="13">
        <f t="shared" si="12"/>
        <v>221814656.19688606</v>
      </c>
      <c r="M31" s="13">
        <f t="shared" si="12"/>
        <v>233778169.16377717</v>
      </c>
      <c r="N31" s="13">
        <f t="shared" si="12"/>
        <v>246160405.08450928</v>
      </c>
      <c r="O31" s="13">
        <f t="shared" si="12"/>
        <v>258976019.26246738</v>
      </c>
      <c r="P31" s="13">
        <f t="shared" si="12"/>
        <v>272240179.93665355</v>
      </c>
      <c r="Q31" s="13">
        <f t="shared" si="12"/>
        <v>285968586.23443663</v>
      </c>
      <c r="R31" s="13">
        <f t="shared" si="12"/>
        <v>300177486.75264186</v>
      </c>
      <c r="S31" s="13">
        <f t="shared" si="12"/>
        <v>314883698.7889843</v>
      </c>
      <c r="T31" s="13">
        <f t="shared" si="12"/>
        <v>330104628.24659866</v>
      </c>
      <c r="U31" s="13">
        <f t="shared" si="12"/>
        <v>345858290.23522896</v>
      </c>
      <c r="V31" s="13">
        <f t="shared" si="12"/>
        <v>362163330.39346218</v>
      </c>
    </row>
    <row r="32" spans="2:22">
      <c r="B32" s="2" t="s">
        <v>53</v>
      </c>
      <c r="C32" s="29">
        <f>C30-C31</f>
        <v>119700000</v>
      </c>
      <c r="D32" s="29">
        <f t="shared" ref="D32:V32" si="13">D30-D31</f>
        <v>132867000</v>
      </c>
      <c r="E32" s="29">
        <f t="shared" si="13"/>
        <v>206494845</v>
      </c>
      <c r="F32" s="29">
        <f t="shared" si="13"/>
        <v>220599664.57499984</v>
      </c>
      <c r="G32" s="29">
        <f t="shared" si="13"/>
        <v>235198152.83512473</v>
      </c>
      <c r="H32" s="29">
        <f t="shared" si="13"/>
        <v>266807588.18435383</v>
      </c>
      <c r="I32" s="29">
        <f t="shared" si="13"/>
        <v>282445853.77080655</v>
      </c>
      <c r="J32" s="29">
        <f t="shared" si="13"/>
        <v>298631458.65278459</v>
      </c>
      <c r="K32" s="29">
        <f t="shared" si="13"/>
        <v>315383559.70563185</v>
      </c>
      <c r="L32" s="29">
        <f t="shared" si="13"/>
        <v>332721984.29532909</v>
      </c>
      <c r="M32" s="29">
        <f t="shared" si="13"/>
        <v>350667253.74566573</v>
      </c>
      <c r="N32" s="29">
        <f t="shared" si="13"/>
        <v>369240607.62676394</v>
      </c>
      <c r="O32" s="29">
        <f t="shared" si="13"/>
        <v>388464028.89370108</v>
      </c>
      <c r="P32" s="29">
        <f t="shared" si="13"/>
        <v>408360269.90498024</v>
      </c>
      <c r="Q32" s="29">
        <f t="shared" si="13"/>
        <v>428952879.35165489</v>
      </c>
      <c r="R32" s="29">
        <f t="shared" si="13"/>
        <v>450266230.12896281</v>
      </c>
      <c r="S32" s="29">
        <f t="shared" si="13"/>
        <v>472325548.18347645</v>
      </c>
      <c r="T32" s="29">
        <f t="shared" si="13"/>
        <v>495156942.3698979</v>
      </c>
      <c r="U32" s="29">
        <f t="shared" si="13"/>
        <v>518787435.35284334</v>
      </c>
      <c r="V32" s="29">
        <f t="shared" si="13"/>
        <v>543244995.59019327</v>
      </c>
    </row>
    <row r="33" spans="2:22">
      <c r="B33" s="2" t="s">
        <v>54</v>
      </c>
      <c r="C33" s="2">
        <f>C27</f>
        <v>50000000</v>
      </c>
      <c r="D33" s="2">
        <f t="shared" ref="D33:V33" si="14">D27</f>
        <v>50000000</v>
      </c>
      <c r="E33" s="2">
        <f t="shared" si="14"/>
        <v>50000000</v>
      </c>
      <c r="F33" s="2">
        <f t="shared" si="14"/>
        <v>50000000</v>
      </c>
      <c r="G33" s="2">
        <f t="shared" si="14"/>
        <v>50000000</v>
      </c>
      <c r="H33" s="2">
        <f t="shared" si="14"/>
        <v>50000000</v>
      </c>
      <c r="I33" s="2">
        <f t="shared" si="14"/>
        <v>50000000</v>
      </c>
      <c r="J33" s="2">
        <f t="shared" si="14"/>
        <v>50000000</v>
      </c>
      <c r="K33" s="2">
        <f t="shared" si="14"/>
        <v>50000000</v>
      </c>
      <c r="L33" s="2">
        <f t="shared" si="14"/>
        <v>50000000</v>
      </c>
      <c r="M33" s="2">
        <f t="shared" si="14"/>
        <v>50000000</v>
      </c>
      <c r="N33" s="2">
        <f t="shared" si="14"/>
        <v>50000000</v>
      </c>
      <c r="O33" s="2">
        <f t="shared" si="14"/>
        <v>50000000</v>
      </c>
      <c r="P33" s="2">
        <f t="shared" si="14"/>
        <v>50000000</v>
      </c>
      <c r="Q33" s="2">
        <f t="shared" si="14"/>
        <v>50000000</v>
      </c>
      <c r="R33" s="2">
        <f t="shared" si="14"/>
        <v>50000000</v>
      </c>
      <c r="S33" s="2">
        <f t="shared" si="14"/>
        <v>50000000</v>
      </c>
      <c r="T33" s="2">
        <f t="shared" si="14"/>
        <v>50000000</v>
      </c>
      <c r="U33" s="2">
        <f t="shared" si="14"/>
        <v>50000000</v>
      </c>
      <c r="V33" s="2">
        <f t="shared" si="14"/>
        <v>50000000</v>
      </c>
    </row>
    <row r="34" spans="2:22">
      <c r="B34" s="2" t="s">
        <v>55</v>
      </c>
      <c r="C34" s="33"/>
      <c r="D34" s="34">
        <f>D28-C28</f>
        <v>8469999.9999999702</v>
      </c>
      <c r="E34" s="34">
        <f t="shared" ref="E34:U34" si="15">E28-D28</f>
        <v>8766450</v>
      </c>
      <c r="F34" s="34">
        <f t="shared" si="15"/>
        <v>9073275.7499999404</v>
      </c>
      <c r="G34" s="34">
        <f t="shared" si="15"/>
        <v>9390840.401249975</v>
      </c>
      <c r="H34" s="34">
        <f t="shared" si="15"/>
        <v>9719519.8152937293</v>
      </c>
      <c r="I34" s="34">
        <f t="shared" si="15"/>
        <v>10059703.008828998</v>
      </c>
      <c r="J34" s="34">
        <f t="shared" si="15"/>
        <v>10411792.614138007</v>
      </c>
      <c r="K34" s="34">
        <f t="shared" si="15"/>
        <v>10776205.355632782</v>
      </c>
      <c r="L34" s="34">
        <f t="shared" si="15"/>
        <v>11153372.543080091</v>
      </c>
      <c r="M34" s="34">
        <f t="shared" si="15"/>
        <v>11543740.582087815</v>
      </c>
      <c r="N34" s="34">
        <f t="shared" si="15"/>
        <v>11947771.502460837</v>
      </c>
      <c r="O34" s="34">
        <f t="shared" si="15"/>
        <v>12365943.505047023</v>
      </c>
      <c r="P34" s="34">
        <f t="shared" si="15"/>
        <v>12798751.52772367</v>
      </c>
      <c r="Q34" s="34">
        <f t="shared" si="15"/>
        <v>13246707.831193984</v>
      </c>
      <c r="R34" s="34">
        <f t="shared" si="15"/>
        <v>13710342.605285704</v>
      </c>
      <c r="S34" s="34">
        <f t="shared" si="15"/>
        <v>14190204.596470773</v>
      </c>
      <c r="T34" s="34">
        <f t="shared" si="15"/>
        <v>14686861.757347167</v>
      </c>
      <c r="U34" s="34">
        <f t="shared" si="15"/>
        <v>15200901.918854356</v>
      </c>
      <c r="V34" s="34">
        <f>(V28-U28)+SUM(D34:U34)</f>
        <v>223245318.80070907</v>
      </c>
    </row>
    <row r="36" spans="2:22">
      <c r="B36" s="32" t="s">
        <v>56</v>
      </c>
      <c r="C36" s="31">
        <f>C32+C33+C34</f>
        <v>169700000</v>
      </c>
      <c r="D36" s="31">
        <f t="shared" ref="D36:V36" si="16">D32+D33+D34</f>
        <v>191336999.99999997</v>
      </c>
      <c r="E36" s="31">
        <f t="shared" si="16"/>
        <v>265261295</v>
      </c>
      <c r="F36" s="31">
        <f t="shared" si="16"/>
        <v>279672940.32499975</v>
      </c>
      <c r="G36" s="31">
        <f t="shared" si="16"/>
        <v>294588993.23637474</v>
      </c>
      <c r="H36" s="31">
        <f t="shared" si="16"/>
        <v>326527107.99964756</v>
      </c>
      <c r="I36" s="31">
        <f t="shared" si="16"/>
        <v>342505556.77963555</v>
      </c>
      <c r="J36" s="31">
        <f t="shared" si="16"/>
        <v>359043251.26692259</v>
      </c>
      <c r="K36" s="31">
        <f t="shared" si="16"/>
        <v>376159765.06126463</v>
      </c>
      <c r="L36" s="31">
        <f t="shared" si="16"/>
        <v>393875356.83840919</v>
      </c>
      <c r="M36" s="31">
        <f t="shared" si="16"/>
        <v>412210994.32775354</v>
      </c>
      <c r="N36" s="31">
        <f t="shared" si="16"/>
        <v>431188379.12922478</v>
      </c>
      <c r="O36" s="31">
        <f t="shared" si="16"/>
        <v>450829972.3987481</v>
      </c>
      <c r="P36" s="31">
        <f t="shared" si="16"/>
        <v>471159021.43270391</v>
      </c>
      <c r="Q36" s="31">
        <f t="shared" si="16"/>
        <v>492199587.18284887</v>
      </c>
      <c r="R36" s="31">
        <f t="shared" si="16"/>
        <v>513976572.73424852</v>
      </c>
      <c r="S36" s="31">
        <f t="shared" si="16"/>
        <v>536515752.77994722</v>
      </c>
      <c r="T36" s="31">
        <f t="shared" si="16"/>
        <v>559843804.12724495</v>
      </c>
      <c r="U36" s="31">
        <f t="shared" si="16"/>
        <v>583988337.27169764</v>
      </c>
      <c r="V36" s="31">
        <f t="shared" si="16"/>
        <v>816490314.39090228</v>
      </c>
    </row>
  </sheetData>
  <mergeCells count="2">
    <mergeCell ref="C9:V9"/>
    <mergeCell ref="B9:B1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B3:C6"/>
  <sheetViews>
    <sheetView workbookViewId="0">
      <selection activeCell="C26" sqref="C26"/>
    </sheetView>
  </sheetViews>
  <sheetFormatPr defaultRowHeight="15"/>
  <cols>
    <col min="2" max="2" width="35" bestFit="1" customWidth="1"/>
    <col min="3" max="3" width="14.5703125" bestFit="1" customWidth="1"/>
  </cols>
  <sheetData>
    <row r="3" spans="2:3">
      <c r="B3" s="2" t="s">
        <v>64</v>
      </c>
      <c r="C3" s="40">
        <v>1000000000</v>
      </c>
    </row>
    <row r="4" spans="2:3">
      <c r="B4" s="2" t="s">
        <v>65</v>
      </c>
      <c r="C4" s="40">
        <v>200000000</v>
      </c>
    </row>
    <row r="6" spans="2:3">
      <c r="B6" s="41" t="s">
        <v>66</v>
      </c>
      <c r="C6" s="42">
        <f>C3+C4</f>
        <v>1200000000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I17"/>
  <sheetViews>
    <sheetView workbookViewId="0">
      <selection activeCell="F18" sqref="F18"/>
    </sheetView>
  </sheetViews>
  <sheetFormatPr defaultRowHeight="15"/>
  <cols>
    <col min="1" max="1" width="9.140625" customWidth="1"/>
    <col min="2" max="2" width="19.140625" bestFit="1" customWidth="1"/>
    <col min="3" max="3" width="11.140625" bestFit="1" customWidth="1"/>
    <col min="6" max="6" width="16" bestFit="1" customWidth="1"/>
    <col min="7" max="9" width="14.7109375" customWidth="1"/>
  </cols>
  <sheetData>
    <row r="2" spans="2:9">
      <c r="C2" s="19" t="s">
        <v>13</v>
      </c>
      <c r="D2" s="19"/>
      <c r="E2" s="19"/>
      <c r="F2" s="19"/>
      <c r="G2" s="19"/>
      <c r="H2" s="19"/>
    </row>
    <row r="4" spans="2:9">
      <c r="B4" s="2" t="s">
        <v>5</v>
      </c>
      <c r="C4" s="6">
        <v>0.4</v>
      </c>
    </row>
    <row r="5" spans="2:9">
      <c r="B5" s="2" t="s">
        <v>14</v>
      </c>
      <c r="C5" s="6">
        <v>0.4</v>
      </c>
    </row>
    <row r="6" spans="2:9">
      <c r="B6" s="2" t="s">
        <v>15</v>
      </c>
      <c r="C6" s="6">
        <v>0.6</v>
      </c>
      <c r="F6" s="7" t="s">
        <v>6</v>
      </c>
      <c r="G6" s="7" t="s">
        <v>7</v>
      </c>
      <c r="H6" s="7" t="s">
        <v>8</v>
      </c>
      <c r="I6" s="7" t="s">
        <v>9</v>
      </c>
    </row>
    <row r="7" spans="2:9">
      <c r="F7" s="2" t="s">
        <v>10</v>
      </c>
      <c r="G7" s="3">
        <f>C13</f>
        <v>0.12312499999999998</v>
      </c>
      <c r="H7" s="9">
        <f>C5</f>
        <v>0.4</v>
      </c>
      <c r="I7" s="2">
        <f>G7*H7</f>
        <v>4.9249999999999995E-2</v>
      </c>
    </row>
    <row r="8" spans="2:9">
      <c r="B8" s="4" t="s">
        <v>4</v>
      </c>
      <c r="C8" s="5">
        <v>6.5000000000000002E-2</v>
      </c>
      <c r="F8" s="2" t="s">
        <v>11</v>
      </c>
      <c r="G8" s="10">
        <f>C8*(1-C4)</f>
        <v>3.9E-2</v>
      </c>
      <c r="H8" s="9">
        <f>C6</f>
        <v>0.6</v>
      </c>
      <c r="I8" s="2">
        <f>G8*H8</f>
        <v>2.3400000000000001E-2</v>
      </c>
    </row>
    <row r="9" spans="2:9">
      <c r="F9" s="18" t="s">
        <v>12</v>
      </c>
      <c r="G9" s="18"/>
      <c r="H9" s="18"/>
      <c r="I9" s="11">
        <f>I7+I8</f>
        <v>7.2649999999999992E-2</v>
      </c>
    </row>
    <row r="10" spans="2:9">
      <c r="B10" s="2" t="s">
        <v>0</v>
      </c>
      <c r="C10" s="3">
        <v>8.7499999999999994E-2</v>
      </c>
    </row>
    <row r="11" spans="2:9">
      <c r="B11" s="2" t="s">
        <v>1</v>
      </c>
      <c r="C11" s="3">
        <v>2.2499999999999999E-2</v>
      </c>
    </row>
    <row r="12" spans="2:9">
      <c r="B12" s="2" t="s">
        <v>2</v>
      </c>
      <c r="C12" s="2">
        <v>1.1499999999999999</v>
      </c>
    </row>
    <row r="13" spans="2:9">
      <c r="B13" s="4" t="s">
        <v>3</v>
      </c>
      <c r="C13" s="35">
        <f>C11+C12*C10</f>
        <v>0.12312499999999998</v>
      </c>
    </row>
    <row r="17" spans="4:4">
      <c r="D17" s="1"/>
    </row>
  </sheetData>
  <mergeCells count="2">
    <mergeCell ref="F9:H9"/>
    <mergeCell ref="C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4:W20"/>
  <sheetViews>
    <sheetView workbookViewId="0">
      <selection activeCell="K15" sqref="K15"/>
    </sheetView>
  </sheetViews>
  <sheetFormatPr defaultRowHeight="15"/>
  <cols>
    <col min="2" max="2" width="26.42578125" bestFit="1" customWidth="1"/>
    <col min="3" max="23" width="12.7109375" customWidth="1"/>
  </cols>
  <sheetData>
    <row r="4" spans="2:23">
      <c r="B4" s="17" t="s">
        <v>27</v>
      </c>
      <c r="C4" s="15"/>
      <c r="D4" s="16" t="s">
        <v>16</v>
      </c>
      <c r="E4" s="16"/>
      <c r="F4" s="16"/>
      <c r="G4" s="16"/>
      <c r="H4" s="16"/>
      <c r="I4" s="16"/>
      <c r="J4" s="16"/>
      <c r="K4" s="16"/>
      <c r="L4" s="16"/>
      <c r="M4" s="16"/>
      <c r="N4" s="16"/>
      <c r="O4" s="16"/>
      <c r="P4" s="16"/>
      <c r="Q4" s="16"/>
      <c r="R4" s="16"/>
      <c r="S4" s="16"/>
      <c r="T4" s="16"/>
      <c r="U4" s="16"/>
      <c r="V4" s="16"/>
      <c r="W4" s="16"/>
    </row>
    <row r="5" spans="2:23">
      <c r="B5" s="38"/>
      <c r="C5" s="36">
        <v>0</v>
      </c>
      <c r="D5" s="14">
        <v>1</v>
      </c>
      <c r="E5" s="14">
        <v>2</v>
      </c>
      <c r="F5" s="14">
        <v>3</v>
      </c>
      <c r="G5" s="14">
        <v>4</v>
      </c>
      <c r="H5" s="14">
        <v>5</v>
      </c>
      <c r="I5" s="14">
        <v>6</v>
      </c>
      <c r="J5" s="14">
        <v>7</v>
      </c>
      <c r="K5" s="14">
        <v>8</v>
      </c>
      <c r="L5" s="14">
        <v>9</v>
      </c>
      <c r="M5" s="14">
        <v>10</v>
      </c>
      <c r="N5" s="14">
        <v>11</v>
      </c>
      <c r="O5" s="14">
        <v>12</v>
      </c>
      <c r="P5" s="14">
        <v>13</v>
      </c>
      <c r="Q5" s="14">
        <v>14</v>
      </c>
      <c r="R5" s="14">
        <v>15</v>
      </c>
      <c r="S5" s="14">
        <v>16</v>
      </c>
      <c r="T5" s="14">
        <v>17</v>
      </c>
      <c r="U5" s="14">
        <v>18</v>
      </c>
      <c r="V5" s="14">
        <v>19</v>
      </c>
      <c r="W5" s="14">
        <v>20</v>
      </c>
    </row>
    <row r="6" spans="2:23">
      <c r="B6" s="2" t="s">
        <v>58</v>
      </c>
      <c r="C6" s="2">
        <v>-1000000000</v>
      </c>
      <c r="D6" s="2">
        <v>-100000000</v>
      </c>
      <c r="E6" s="2">
        <v>-100000000</v>
      </c>
      <c r="F6" s="2"/>
      <c r="G6" s="2"/>
      <c r="H6" s="2"/>
      <c r="I6" s="2"/>
      <c r="J6" s="2"/>
      <c r="K6" s="2"/>
      <c r="L6" s="2"/>
      <c r="M6" s="2"/>
      <c r="N6" s="2"/>
      <c r="O6" s="2"/>
      <c r="P6" s="2"/>
      <c r="Q6" s="2"/>
      <c r="R6" s="2"/>
      <c r="S6" s="2"/>
      <c r="T6" s="2"/>
      <c r="U6" s="2"/>
      <c r="V6" s="2"/>
      <c r="W6" s="2"/>
    </row>
    <row r="7" spans="2:23">
      <c r="B7" s="2" t="s">
        <v>57</v>
      </c>
      <c r="C7" s="2">
        <v>0</v>
      </c>
      <c r="D7" s="13">
        <f>'Project’s Cash Flows '!C36</f>
        <v>169700000</v>
      </c>
      <c r="E7" s="13">
        <f>'Project’s Cash Flows '!D36</f>
        <v>191336999.99999997</v>
      </c>
      <c r="F7" s="13">
        <f>'Project’s Cash Flows '!E36</f>
        <v>265261295</v>
      </c>
      <c r="G7" s="13">
        <f>'Project’s Cash Flows '!F36</f>
        <v>279672940.32499975</v>
      </c>
      <c r="H7" s="13">
        <f>'Project’s Cash Flows '!G36</f>
        <v>294588993.23637474</v>
      </c>
      <c r="I7" s="13">
        <f>'Project’s Cash Flows '!H36</f>
        <v>326527107.99964756</v>
      </c>
      <c r="J7" s="13">
        <f>'Project’s Cash Flows '!I36</f>
        <v>342505556.77963555</v>
      </c>
      <c r="K7" s="13">
        <f>'Project’s Cash Flows '!J36</f>
        <v>359043251.26692259</v>
      </c>
      <c r="L7" s="13">
        <f>'Project’s Cash Flows '!K36</f>
        <v>376159765.06126463</v>
      </c>
      <c r="M7" s="13">
        <f>'Project’s Cash Flows '!L36</f>
        <v>393875356.83840919</v>
      </c>
      <c r="N7" s="13">
        <f>'Project’s Cash Flows '!M36</f>
        <v>412210994.32775354</v>
      </c>
      <c r="O7" s="13">
        <f>'Project’s Cash Flows '!N36</f>
        <v>431188379.12922478</v>
      </c>
      <c r="P7" s="13">
        <f>'Project’s Cash Flows '!O36</f>
        <v>450829972.3987481</v>
      </c>
      <c r="Q7" s="13">
        <f>'Project’s Cash Flows '!P36</f>
        <v>471159021.43270391</v>
      </c>
      <c r="R7" s="13">
        <f>'Project’s Cash Flows '!Q36</f>
        <v>492199587.18284887</v>
      </c>
      <c r="S7" s="13">
        <f>'Project’s Cash Flows '!R36</f>
        <v>513976572.73424852</v>
      </c>
      <c r="T7" s="13">
        <f>'Project’s Cash Flows '!S36</f>
        <v>536515752.77994722</v>
      </c>
      <c r="U7" s="13">
        <f>'Project’s Cash Flows '!T36</f>
        <v>559843804.12724495</v>
      </c>
      <c r="V7" s="13">
        <f>'Project’s Cash Flows '!U36</f>
        <v>583988337.27169764</v>
      </c>
      <c r="W7" s="13">
        <f>'Project’s Cash Flows '!V36</f>
        <v>816490314.39090228</v>
      </c>
    </row>
    <row r="8" spans="2:23">
      <c r="B8" s="2" t="s">
        <v>60</v>
      </c>
      <c r="C8" s="13">
        <f>C6+C7</f>
        <v>-1000000000</v>
      </c>
      <c r="D8" s="13">
        <f t="shared" ref="D8:W8" si="0">D6+D7</f>
        <v>69700000</v>
      </c>
      <c r="E8" s="13">
        <f t="shared" si="0"/>
        <v>91336999.99999997</v>
      </c>
      <c r="F8" s="13">
        <f t="shared" si="0"/>
        <v>265261295</v>
      </c>
      <c r="G8" s="13">
        <f t="shared" si="0"/>
        <v>279672940.32499975</v>
      </c>
      <c r="H8" s="13">
        <f t="shared" si="0"/>
        <v>294588993.23637474</v>
      </c>
      <c r="I8" s="13">
        <f t="shared" si="0"/>
        <v>326527107.99964756</v>
      </c>
      <c r="J8" s="13">
        <f t="shared" si="0"/>
        <v>342505556.77963555</v>
      </c>
      <c r="K8" s="13">
        <f t="shared" si="0"/>
        <v>359043251.26692259</v>
      </c>
      <c r="L8" s="13">
        <f t="shared" si="0"/>
        <v>376159765.06126463</v>
      </c>
      <c r="M8" s="13">
        <f t="shared" si="0"/>
        <v>393875356.83840919</v>
      </c>
      <c r="N8" s="13">
        <f t="shared" si="0"/>
        <v>412210994.32775354</v>
      </c>
      <c r="O8" s="13">
        <f t="shared" si="0"/>
        <v>431188379.12922478</v>
      </c>
      <c r="P8" s="13">
        <f t="shared" si="0"/>
        <v>450829972.3987481</v>
      </c>
      <c r="Q8" s="13">
        <f t="shared" si="0"/>
        <v>471159021.43270391</v>
      </c>
      <c r="R8" s="13">
        <f t="shared" si="0"/>
        <v>492199587.18284887</v>
      </c>
      <c r="S8" s="13">
        <f t="shared" si="0"/>
        <v>513976572.73424852</v>
      </c>
      <c r="T8" s="13">
        <f t="shared" si="0"/>
        <v>536515752.77994722</v>
      </c>
      <c r="U8" s="13">
        <f t="shared" si="0"/>
        <v>559843804.12724495</v>
      </c>
      <c r="V8" s="13">
        <f t="shared" si="0"/>
        <v>583988337.27169764</v>
      </c>
      <c r="W8" s="13">
        <f t="shared" si="0"/>
        <v>816490314.39090228</v>
      </c>
    </row>
    <row r="9" spans="2:23">
      <c r="B9" s="2" t="s">
        <v>59</v>
      </c>
      <c r="C9" s="2">
        <v>1</v>
      </c>
      <c r="D9" s="39">
        <f>1/1.123</f>
        <v>0.89047195013357083</v>
      </c>
      <c r="E9" s="39">
        <f>D9/1.123</f>
        <v>0.79294029397468457</v>
      </c>
      <c r="F9" s="39">
        <f t="shared" ref="F9:W9" si="1">E9/1.123</f>
        <v>0.70609108991512426</v>
      </c>
      <c r="G9" s="39">
        <f t="shared" si="1"/>
        <v>0.62875430980865921</v>
      </c>
      <c r="H9" s="39">
        <f t="shared" si="1"/>
        <v>0.55988807641020411</v>
      </c>
      <c r="I9" s="39">
        <f t="shared" si="1"/>
        <v>0.49856462725752815</v>
      </c>
      <c r="J9" s="39">
        <f t="shared" si="1"/>
        <v>0.44395781590162792</v>
      </c>
      <c r="K9" s="39">
        <f t="shared" si="1"/>
        <v>0.39533198210296344</v>
      </c>
      <c r="L9" s="39">
        <f t="shared" si="1"/>
        <v>0.35203204105339575</v>
      </c>
      <c r="M9" s="39">
        <f t="shared" si="1"/>
        <v>0.31347465810631858</v>
      </c>
      <c r="N9" s="39">
        <f t="shared" si="1"/>
        <v>0.27914039012138786</v>
      </c>
      <c r="O9" s="39">
        <f t="shared" si="1"/>
        <v>0.24856668755243799</v>
      </c>
      <c r="P9" s="39">
        <f t="shared" si="1"/>
        <v>0.22134166300306143</v>
      </c>
      <c r="Q9" s="39">
        <f t="shared" si="1"/>
        <v>0.19709854230014376</v>
      </c>
      <c r="R9" s="39">
        <f t="shared" si="1"/>
        <v>0.17551072333049311</v>
      </c>
      <c r="S9" s="39">
        <f t="shared" si="1"/>
        <v>0.1562873760734578</v>
      </c>
      <c r="T9" s="39">
        <f t="shared" si="1"/>
        <v>0.13916952455339074</v>
      </c>
      <c r="U9" s="39">
        <f t="shared" si="1"/>
        <v>0.12392655792821972</v>
      </c>
      <c r="V9" s="39">
        <f t="shared" si="1"/>
        <v>0.11035312371168274</v>
      </c>
      <c r="W9" s="39">
        <f t="shared" si="1"/>
        <v>9.8266361274873315E-2</v>
      </c>
    </row>
    <row r="10" spans="2:23">
      <c r="B10" s="2" t="s">
        <v>61</v>
      </c>
      <c r="C10" s="13">
        <f>C8*C9</f>
        <v>-1000000000</v>
      </c>
      <c r="D10" s="13">
        <f t="shared" ref="D10:W10" si="2">D8*D9</f>
        <v>62065894.924309887</v>
      </c>
      <c r="E10" s="13">
        <f t="shared" si="2"/>
        <v>72424787.630765736</v>
      </c>
      <c r="F10" s="13">
        <f t="shared" si="2"/>
        <v>187298636.89884731</v>
      </c>
      <c r="G10" s="13">
        <f t="shared" si="2"/>
        <v>175845566.56620356</v>
      </c>
      <c r="H10" s="13">
        <f t="shared" si="2"/>
        <v>164936864.75473249</v>
      </c>
      <c r="I10" s="13">
        <f t="shared" si="2"/>
        <v>162794865.88932294</v>
      </c>
      <c r="J10" s="13">
        <f t="shared" si="2"/>
        <v>152058018.92205802</v>
      </c>
      <c r="K10" s="13">
        <f t="shared" si="2"/>
        <v>141941280.18404484</v>
      </c>
      <c r="L10" s="13">
        <f t="shared" si="2"/>
        <v>132420289.85668281</v>
      </c>
      <c r="M10" s="13">
        <f t="shared" si="2"/>
        <v>123469942.82142454</v>
      </c>
      <c r="N10" s="13">
        <f t="shared" si="2"/>
        <v>115064737.76897432</v>
      </c>
      <c r="O10" s="13">
        <f t="shared" si="2"/>
        <v>107179067.1112562</v>
      </c>
      <c r="P10" s="13">
        <f t="shared" si="2"/>
        <v>99787455.822363183</v>
      </c>
      <c r="Q10" s="13">
        <f t="shared" si="2"/>
        <v>92864756.315948129</v>
      </c>
      <c r="R10" s="13">
        <f t="shared" si="2"/>
        <v>86386305.569431916</v>
      </c>
      <c r="S10" s="13">
        <f t="shared" si="2"/>
        <v>80328049.915864438</v>
      </c>
      <c r="T10" s="13">
        <f t="shared" si="2"/>
        <v>74666642.229789779</v>
      </c>
      <c r="U10" s="13">
        <f t="shared" si="2"/>
        <v>69379515.622929916</v>
      </c>
      <c r="V10" s="13">
        <f t="shared" si="2"/>
        <v>64444937.229123555</v>
      </c>
      <c r="W10" s="13">
        <f t="shared" si="2"/>
        <v>80233532.211371303</v>
      </c>
    </row>
    <row r="12" spans="2:23">
      <c r="B12" s="32" t="s">
        <v>62</v>
      </c>
      <c r="C12" s="31">
        <f>SUM(C10:W10)</f>
        <v>1245591148.2454448</v>
      </c>
    </row>
    <row r="14" spans="2:23">
      <c r="B14" s="32" t="s">
        <v>63</v>
      </c>
      <c r="C14" s="37">
        <f>IRR(C10:W10)</f>
        <v>0.10545650333858179</v>
      </c>
    </row>
    <row r="17" spans="2:9">
      <c r="B17" s="43" t="s">
        <v>67</v>
      </c>
      <c r="C17" s="43"/>
      <c r="D17" s="43"/>
      <c r="E17" s="43"/>
      <c r="F17" s="43"/>
      <c r="G17" s="43"/>
      <c r="H17" s="43"/>
      <c r="I17" s="43"/>
    </row>
    <row r="18" spans="2:9">
      <c r="B18" s="43"/>
      <c r="C18" s="43"/>
      <c r="D18" s="43"/>
      <c r="E18" s="43"/>
      <c r="F18" s="43"/>
      <c r="G18" s="43"/>
      <c r="H18" s="43"/>
      <c r="I18" s="43"/>
    </row>
    <row r="19" spans="2:9">
      <c r="B19" s="43"/>
      <c r="C19" s="43"/>
      <c r="D19" s="43"/>
      <c r="E19" s="43"/>
      <c r="F19" s="43"/>
      <c r="G19" s="43"/>
      <c r="H19" s="43"/>
      <c r="I19" s="43"/>
    </row>
    <row r="20" spans="2:9">
      <c r="B20" s="43"/>
      <c r="C20" s="43"/>
      <c r="D20" s="43"/>
      <c r="E20" s="43"/>
      <c r="F20" s="43"/>
      <c r="G20" s="43"/>
      <c r="H20" s="43"/>
      <c r="I20" s="43"/>
    </row>
  </sheetData>
  <mergeCells count="3">
    <mergeCell ref="B4:B5"/>
    <mergeCell ref="D4:W4"/>
    <mergeCell ref="B17:I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Project’s Cash Flows </vt:lpstr>
      <vt:lpstr>Investment Costs</vt:lpstr>
      <vt:lpstr>Cost of Capital (WACC)</vt:lpstr>
      <vt:lpstr>Investment Appraisal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Redbus</cp:lastModifiedBy>
  <dcterms:created xsi:type="dcterms:W3CDTF">2016-02-23T10:35:16Z</dcterms:created>
  <dcterms:modified xsi:type="dcterms:W3CDTF">2016-02-23T17:11:40Z</dcterms:modified>
</cp:coreProperties>
</file>