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y\Documents\"/>
    </mc:Choice>
  </mc:AlternateContent>
  <bookViews>
    <workbookView xWindow="0" yWindow="0" windowWidth="11670" windowHeight="4635" activeTab="1"/>
  </bookViews>
  <sheets>
    <sheet name="Chapter" sheetId="1" r:id="rId1"/>
    <sheet name="3-2" sheetId="9" r:id="rId2"/>
    <sheet name="3-3" sheetId="8" r:id="rId3"/>
    <sheet name="3-4" sheetId="7" r:id="rId4"/>
    <sheet name="3-5" sheetId="6" r:id="rId5"/>
    <sheet name="3-6" sheetId="5" r:id="rId6"/>
    <sheet name="3-8" sheetId="4" r:id="rId7"/>
    <sheet name="Mini Case Data" sheetId="10" r:id="rId8"/>
  </sheets>
  <definedNames>
    <definedName name="_xlnm.Print_Area" localSheetId="0">Chapter!$A$1:$G$306</definedName>
    <definedName name="taxtable">#REF!</definedName>
  </definedNames>
  <calcPr calcId="152511"/>
</workbook>
</file>

<file path=xl/calcChain.xml><?xml version="1.0" encoding="utf-8"?>
<calcChain xmlns="http://schemas.openxmlformats.org/spreadsheetml/2006/main">
  <c r="G1" i="10" l="1"/>
  <c r="C215" i="1" l="1"/>
  <c r="C204" i="1"/>
  <c r="A215" i="1" l="1"/>
  <c r="E279" i="1" l="1"/>
  <c r="F44" i="10" l="1"/>
  <c r="F45" i="10" s="1"/>
  <c r="F47" i="10" s="1"/>
  <c r="E44" i="10"/>
  <c r="E45" i="10" s="1"/>
  <c r="E47" i="10" s="1"/>
  <c r="D44" i="10"/>
  <c r="D45" i="10" s="1"/>
  <c r="D47" i="10" s="1"/>
  <c r="F39" i="10"/>
  <c r="E39" i="10"/>
  <c r="D39" i="10"/>
  <c r="F34" i="10"/>
  <c r="F52" i="10" s="1"/>
  <c r="E34" i="10"/>
  <c r="E52" i="10" s="1"/>
  <c r="D34" i="10"/>
  <c r="D52" i="10" s="1"/>
  <c r="F29" i="10"/>
  <c r="F31" i="10" s="1"/>
  <c r="F35" i="10" s="1"/>
  <c r="E29" i="10"/>
  <c r="E31" i="10" s="1"/>
  <c r="E35" i="10" s="1"/>
  <c r="D29" i="10"/>
  <c r="D31" i="10" s="1"/>
  <c r="D35" i="10" s="1"/>
  <c r="F22" i="10"/>
  <c r="E22" i="10"/>
  <c r="E23" i="10" s="1"/>
  <c r="D22" i="10"/>
  <c r="F19" i="10"/>
  <c r="F23" i="10" s="1"/>
  <c r="E19" i="10"/>
  <c r="D19" i="10"/>
  <c r="F14" i="10"/>
  <c r="E14" i="10"/>
  <c r="D14" i="10"/>
  <c r="E5" i="10"/>
  <c r="F5" i="10" s="1"/>
  <c r="D23" i="10" l="1"/>
  <c r="E48" i="10"/>
  <c r="E49" i="10" s="1"/>
  <c r="E50" i="10" s="1"/>
  <c r="F48" i="10"/>
  <c r="F49" i="10"/>
  <c r="F50" i="10" s="1"/>
  <c r="D48" i="10"/>
  <c r="D49" i="10" s="1"/>
  <c r="D50" i="10" s="1"/>
  <c r="D246" i="1"/>
  <c r="D227" i="1"/>
  <c r="A212" i="1"/>
  <c r="A211" i="1"/>
  <c r="A210" i="1"/>
  <c r="A209" i="1"/>
  <c r="A208" i="1"/>
  <c r="A207" i="1"/>
  <c r="A206" i="1"/>
  <c r="A204" i="1"/>
  <c r="A203" i="1"/>
  <c r="A202" i="1"/>
  <c r="A201" i="1"/>
  <c r="A200" i="1"/>
  <c r="A199" i="1"/>
  <c r="A198" i="1"/>
  <c r="F186" i="1"/>
  <c r="F182" i="1"/>
  <c r="F180" i="1"/>
  <c r="F179" i="1"/>
  <c r="F178" i="1"/>
  <c r="E186" i="1"/>
  <c r="E182" i="1"/>
  <c r="E180" i="1"/>
  <c r="E179" i="1"/>
  <c r="E178" i="1"/>
  <c r="A187" i="1"/>
  <c r="A186" i="1"/>
  <c r="A185" i="1"/>
  <c r="A184" i="1"/>
  <c r="A183" i="1"/>
  <c r="A182" i="1"/>
  <c r="A181" i="1"/>
  <c r="A180" i="1"/>
  <c r="A179" i="1"/>
  <c r="A178" i="1"/>
  <c r="A177" i="1"/>
  <c r="A227" i="1" s="1"/>
  <c r="E105" i="1" l="1"/>
  <c r="D105" i="1"/>
  <c r="F75" i="1"/>
  <c r="E75" i="1"/>
  <c r="C11" i="8"/>
  <c r="E98" i="1" l="1"/>
  <c r="D98" i="1"/>
  <c r="E51" i="1"/>
  <c r="D51" i="1"/>
  <c r="D123" i="1" l="1"/>
  <c r="E181" i="1"/>
  <c r="E123" i="1"/>
  <c r="F181" i="1"/>
  <c r="F74" i="1"/>
  <c r="F83" i="1" s="1"/>
  <c r="E108" i="1"/>
  <c r="E74" i="1"/>
  <c r="E83" i="1" s="1"/>
  <c r="D108" i="1"/>
  <c r="E63" i="1"/>
  <c r="D63" i="1"/>
  <c r="E62" i="1"/>
  <c r="D62" i="1"/>
  <c r="E61" i="1"/>
  <c r="D61" i="1"/>
  <c r="D53" i="1"/>
  <c r="E183" i="1" s="1"/>
  <c r="E53" i="1"/>
  <c r="F183" i="1" s="1"/>
  <c r="E43" i="1"/>
  <c r="E104" i="1" s="1"/>
  <c r="E37" i="1"/>
  <c r="E39" i="1" s="1"/>
  <c r="D37" i="1"/>
  <c r="E29" i="1"/>
  <c r="D29" i="1"/>
  <c r="D31" i="1" s="1"/>
  <c r="D103" i="1" s="1"/>
  <c r="E44" i="1" l="1"/>
  <c r="D114" i="1"/>
  <c r="E31" i="1"/>
  <c r="E103" i="1" s="1"/>
  <c r="D39" i="1"/>
  <c r="D106" i="1" s="1"/>
  <c r="D54" i="1"/>
  <c r="E54" i="1"/>
  <c r="E55" i="1" l="1"/>
  <c r="F184" i="1"/>
  <c r="D55" i="1"/>
  <c r="E184" i="1"/>
  <c r="D57" i="1" l="1"/>
  <c r="E185" i="1"/>
  <c r="E57" i="1"/>
  <c r="F185" i="1"/>
  <c r="C10" i="4"/>
  <c r="F81" i="1"/>
  <c r="E124" i="1" s="1"/>
  <c r="D262" i="1"/>
  <c r="D261" i="1"/>
  <c r="D259" i="1"/>
  <c r="D257" i="1"/>
  <c r="D256" i="1"/>
  <c r="D255" i="1"/>
  <c r="D247" i="1"/>
  <c r="D248" i="1"/>
  <c r="D249" i="1"/>
  <c r="D251" i="1"/>
  <c r="A247" i="1"/>
  <c r="A248" i="1"/>
  <c r="A249" i="1"/>
  <c r="A250" i="1"/>
  <c r="A251" i="1"/>
  <c r="A252" i="1"/>
  <c r="A254" i="1"/>
  <c r="A255" i="1"/>
  <c r="A256" i="1"/>
  <c r="A257" i="1"/>
  <c r="A258" i="1"/>
  <c r="A259" i="1"/>
  <c r="A260" i="1"/>
  <c r="A261" i="1"/>
  <c r="A262" i="1"/>
  <c r="A263" i="1"/>
  <c r="A264" i="1"/>
  <c r="A265" i="1"/>
  <c r="A246" i="1"/>
  <c r="D226" i="1"/>
  <c r="D244" i="1" s="1"/>
  <c r="E12" i="1"/>
  <c r="B225" i="1" s="1"/>
  <c r="B243" i="1" s="1"/>
  <c r="D232" i="1"/>
  <c r="D236" i="1"/>
  <c r="D230" i="1"/>
  <c r="D228" i="1"/>
  <c r="D229" i="1"/>
  <c r="F177" i="1"/>
  <c r="E177" i="1"/>
  <c r="D196" i="1"/>
  <c r="E176" i="1" s="1"/>
  <c r="C196" i="1"/>
  <c r="D176" i="1" s="1"/>
  <c r="D23" i="1"/>
  <c r="A197" i="1"/>
  <c r="A245" i="1" s="1"/>
  <c r="D46" i="1"/>
  <c r="D175" i="1"/>
  <c r="A228" i="1"/>
  <c r="A229" i="1"/>
  <c r="A230" i="1"/>
  <c r="A231" i="1"/>
  <c r="A232" i="1"/>
  <c r="A233" i="1"/>
  <c r="A234" i="1"/>
  <c r="A235" i="1"/>
  <c r="A236" i="1"/>
  <c r="D139" i="1"/>
  <c r="B139" i="1"/>
  <c r="B138" i="1" s="1"/>
  <c r="B137" i="1" s="1"/>
  <c r="B136" i="1" s="1"/>
  <c r="B135" i="1" s="1"/>
  <c r="C20" i="5"/>
  <c r="C21" i="5" s="1"/>
  <c r="C16" i="5"/>
  <c r="C17" i="5" s="1"/>
  <c r="C18" i="5" s="1"/>
  <c r="C13" i="5"/>
  <c r="C14" i="5" s="1"/>
  <c r="D119" i="1"/>
  <c r="D111" i="1"/>
  <c r="C27" i="6"/>
  <c r="C26" i="6"/>
  <c r="C25" i="6"/>
  <c r="C24" i="6"/>
  <c r="C18" i="6"/>
  <c r="C17" i="6"/>
  <c r="C16" i="6"/>
  <c r="C15" i="6"/>
  <c r="C29" i="6"/>
  <c r="C20" i="6"/>
  <c r="C11" i="6"/>
  <c r="C11" i="7"/>
  <c r="D101" i="1"/>
  <c r="D93" i="1"/>
  <c r="C16" i="8"/>
  <c r="C15" i="8"/>
  <c r="C14" i="8"/>
  <c r="C13" i="9"/>
  <c r="C12" i="9"/>
  <c r="C9" i="9"/>
  <c r="C16" i="9"/>
  <c r="C17" i="9"/>
  <c r="E97" i="1"/>
  <c r="D97" i="1"/>
  <c r="B270" i="1"/>
  <c r="D87" i="1"/>
  <c r="E78" i="1"/>
  <c r="E67" i="1"/>
  <c r="F68" i="1"/>
  <c r="F69" i="1" s="1"/>
  <c r="E68" i="1"/>
  <c r="E69" i="1" s="1"/>
  <c r="D272" i="1"/>
  <c r="E272" i="1"/>
  <c r="F272" i="1"/>
  <c r="F80" i="1"/>
  <c r="E80" i="1"/>
  <c r="E96" i="1"/>
  <c r="D96" i="1"/>
  <c r="C18" i="8" l="1"/>
  <c r="E46" i="1"/>
  <c r="F73" i="1"/>
  <c r="F187" i="1"/>
  <c r="E73" i="1"/>
  <c r="E187" i="1"/>
  <c r="D115" i="1"/>
  <c r="D113" i="1"/>
  <c r="E119" i="1"/>
  <c r="E101" i="1"/>
  <c r="E23" i="1"/>
  <c r="F78" i="1"/>
  <c r="B271" i="1"/>
  <c r="E70" i="1"/>
  <c r="E71" i="1" s="1"/>
  <c r="D90" i="1"/>
  <c r="C272" i="1"/>
  <c r="D250" i="1"/>
  <c r="D258" i="1"/>
  <c r="D89" i="1"/>
  <c r="E89" i="1"/>
  <c r="D202" i="1"/>
  <c r="E90" i="1"/>
  <c r="F67" i="1"/>
  <c r="E87" i="1"/>
  <c r="E93" i="1"/>
  <c r="E111" i="1"/>
  <c r="E196" i="1"/>
  <c r="F176" i="1" s="1"/>
  <c r="E198" i="1"/>
  <c r="E200" i="1"/>
  <c r="E202" i="1"/>
  <c r="E208" i="1"/>
  <c r="E210" i="1"/>
  <c r="E212" i="1"/>
  <c r="E214" i="1"/>
  <c r="E199" i="1"/>
  <c r="E201" i="1"/>
  <c r="E203" i="1"/>
  <c r="E207" i="1"/>
  <c r="E209" i="1"/>
  <c r="E211" i="1"/>
  <c r="E213" i="1"/>
  <c r="E95" i="1"/>
  <c r="E271" i="1" s="1"/>
  <c r="F271" i="1"/>
  <c r="E106" i="1"/>
  <c r="D260" i="1"/>
  <c r="D212" i="1"/>
  <c r="E204" i="1" l="1"/>
  <c r="E215" i="1"/>
  <c r="E72" i="1"/>
  <c r="E84" i="1" s="1"/>
  <c r="D252" i="1"/>
  <c r="D107" i="1"/>
  <c r="D209" i="1"/>
  <c r="D207" i="1"/>
  <c r="D95" i="1"/>
  <c r="E270" i="1" s="1"/>
  <c r="D200" i="1"/>
  <c r="D210" i="1"/>
  <c r="D203" i="1"/>
  <c r="D204" i="1" s="1"/>
  <c r="D208" i="1"/>
  <c r="D213" i="1"/>
  <c r="D201" i="1"/>
  <c r="D198" i="1"/>
  <c r="D211" i="1"/>
  <c r="D199" i="1"/>
  <c r="E107" i="1"/>
  <c r="F70" i="1"/>
  <c r="F71" i="1" s="1"/>
  <c r="D233" i="1"/>
  <c r="E114" i="1"/>
  <c r="D231" i="1"/>
  <c r="D234" i="1" l="1"/>
  <c r="D270" i="1"/>
  <c r="D279" i="1" s="1"/>
  <c r="E82" i="1"/>
  <c r="D122" i="1" s="1"/>
  <c r="E79" i="1"/>
  <c r="D121" i="1" s="1"/>
  <c r="D60" i="1"/>
  <c r="D42" i="1" s="1"/>
  <c r="D43" i="1" s="1"/>
  <c r="D214" i="1" s="1"/>
  <c r="D215" i="1" s="1"/>
  <c r="D44" i="1" l="1"/>
  <c r="D104" i="1"/>
  <c r="D235" i="1"/>
  <c r="D237" i="1"/>
  <c r="D263" i="1"/>
  <c r="F79" i="1"/>
  <c r="E121" i="1" s="1"/>
  <c r="E113" i="1"/>
  <c r="D271" i="1" s="1"/>
  <c r="C271" i="1" s="1"/>
  <c r="E115" i="1" l="1"/>
  <c r="F82" i="1"/>
  <c r="E122" i="1" s="1"/>
  <c r="E116" i="1"/>
  <c r="C138" i="1" s="1"/>
  <c r="E60" i="1"/>
  <c r="D264" i="1"/>
  <c r="E81" i="1"/>
  <c r="D124" i="1" s="1"/>
  <c r="F270" i="1"/>
  <c r="D116" i="1"/>
  <c r="C139" i="1" s="1"/>
  <c r="C270" i="1" l="1"/>
  <c r="F279" i="1"/>
  <c r="C279" i="1" s="1"/>
  <c r="D265" i="1"/>
</calcChain>
</file>

<file path=xl/comments1.xml><?xml version="1.0" encoding="utf-8"?>
<comments xmlns="http://schemas.openxmlformats.org/spreadsheetml/2006/main">
  <authors>
    <author>Christopher Buzzard</author>
  </authors>
  <commentList>
    <comment ref="E97" authorId="0" shapeId="0">
      <text>
        <r>
          <rPr>
            <b/>
            <sz val="8"/>
            <color indexed="81"/>
            <rFont val="Tahoma"/>
            <family val="2"/>
          </rPr>
          <t>To calculate the DSO ratio, a 365-day accounting year was used.</t>
        </r>
      </text>
    </comment>
  </commentList>
</comments>
</file>

<file path=xl/comments2.xml><?xml version="1.0" encoding="utf-8"?>
<comments xmlns="http://schemas.openxmlformats.org/spreadsheetml/2006/main">
  <authors>
    <author>Bart Kreps</author>
  </authors>
  <commentList>
    <comment ref="F5" authorId="0" shapeId="0">
      <text>
        <r>
          <rPr>
            <b/>
            <sz val="8"/>
            <color indexed="81"/>
            <rFont val="Tahoma"/>
            <family val="2"/>
          </rPr>
          <t>Projections</t>
        </r>
        <r>
          <rPr>
            <sz val="10"/>
            <color indexed="81"/>
            <rFont val="Tahoma"/>
            <family val="2"/>
          </rPr>
          <t xml:space="preserve">
</t>
        </r>
      </text>
    </comment>
  </commentList>
</comments>
</file>

<file path=xl/sharedStrings.xml><?xml version="1.0" encoding="utf-8"?>
<sst xmlns="http://schemas.openxmlformats.org/spreadsheetml/2006/main" count="270" uniqueCount="198">
  <si>
    <t>Net sales</t>
  </si>
  <si>
    <t>Earnings before interest and taxes (EBIT)</t>
  </si>
  <si>
    <t>Common dividends</t>
  </si>
  <si>
    <t>Addition to retained earnings</t>
  </si>
  <si>
    <t>Earnings per share (EPS)</t>
  </si>
  <si>
    <t>Dividends per share (DPS)</t>
  </si>
  <si>
    <t>Book value per share (BVPS)</t>
  </si>
  <si>
    <t>Assets</t>
  </si>
  <si>
    <t>Accounts receivable</t>
  </si>
  <si>
    <t>Inventories</t>
  </si>
  <si>
    <t>Net plant and equipment</t>
  </si>
  <si>
    <t>Total assets</t>
  </si>
  <si>
    <t>Accounts payable</t>
  </si>
  <si>
    <t>Notes payable</t>
  </si>
  <si>
    <t>Accruals</t>
  </si>
  <si>
    <t>Long-term bonds</t>
  </si>
  <si>
    <t>Preferred stock (400,000 shares)</t>
  </si>
  <si>
    <t>Common stock (50,000,000 shares)</t>
  </si>
  <si>
    <t>Retained earnings</t>
  </si>
  <si>
    <t>Total common equity</t>
  </si>
  <si>
    <t>Total liabilities and equity</t>
  </si>
  <si>
    <t>Tax rate</t>
  </si>
  <si>
    <t>Liquidity ratios</t>
  </si>
  <si>
    <t>Asset Management ratios</t>
  </si>
  <si>
    <t>Debt Management ratios</t>
  </si>
  <si>
    <t>Market Value ratios</t>
  </si>
  <si>
    <t>Industry Average</t>
  </si>
  <si>
    <t>Industry</t>
  </si>
  <si>
    <t>Average</t>
  </si>
  <si>
    <t>Net operating working capital (NOWC)</t>
  </si>
  <si>
    <t>Total operating capital</t>
  </si>
  <si>
    <t>N/A</t>
  </si>
  <si>
    <t>After-tax cost of capital</t>
  </si>
  <si>
    <t>Year-end common stock price</t>
  </si>
  <si>
    <t>Year-end shares outstanding (in millions)</t>
  </si>
  <si>
    <t>Cash flow per share (CFPS)</t>
  </si>
  <si>
    <t>Profitability ratios</t>
  </si>
  <si>
    <t xml:space="preserve">           ROE    =</t>
  </si>
  <si>
    <t>Lease payments</t>
  </si>
  <si>
    <t>Free cash flow per share (FCFPS)</t>
  </si>
  <si>
    <t>Required sinking fund payments</t>
  </si>
  <si>
    <t>Input Data:</t>
  </si>
  <si>
    <t>Calculated Data:  Operating Performance and Cash Flows</t>
  </si>
  <si>
    <t>Calculated Data:  Per-share Information</t>
  </si>
  <si>
    <t>ROE</t>
  </si>
  <si>
    <t>Cash and equivalents</t>
  </si>
  <si>
    <t>Short-term investments</t>
  </si>
  <si>
    <t>MicroDrive</t>
  </si>
  <si>
    <t xml:space="preserve">MicroDrive </t>
  </si>
  <si>
    <t xml:space="preserve">Financial statements are analyzed by calculating certain key ratios and then comparing them with the ratios of other firms and by examining the trends in ratios over time.  We can also combine ratios to make the analysis more revealing, one below are exceptionally useful for this type of analysis. </t>
  </si>
  <si>
    <t>SOLUTIONS TO SELF-TEST QUESTIONS</t>
  </si>
  <si>
    <t>Current liabilities ($M)</t>
  </si>
  <si>
    <t>Current ratio</t>
  </si>
  <si>
    <t>Current assets ($M)</t>
  </si>
  <si>
    <t>Quick ratio</t>
  </si>
  <si>
    <t>Inventories ($M)</t>
  </si>
  <si>
    <t>SOLUTIONS TO SELF-TEST</t>
  </si>
  <si>
    <t>Annual Sales ($M)</t>
  </si>
  <si>
    <t>Inventory ($M)</t>
  </si>
  <si>
    <t>Accounts receivable ($M)</t>
  </si>
  <si>
    <t>Inventory turnover</t>
  </si>
  <si>
    <t>Days sales outstanding</t>
  </si>
  <si>
    <t>EBITDA ($M)</t>
  </si>
  <si>
    <t>Interest payments</t>
  </si>
  <si>
    <t>Principal payments</t>
  </si>
  <si>
    <t>EBITDA coverage</t>
  </si>
  <si>
    <t>Sales ($B)</t>
  </si>
  <si>
    <t>Net income ($B)</t>
  </si>
  <si>
    <t>Total assets ($B)</t>
  </si>
  <si>
    <t>Debt ratio</t>
  </si>
  <si>
    <t>Profit margin</t>
  </si>
  <si>
    <t>ROA</t>
  </si>
  <si>
    <t xml:space="preserve">SOLUTIONS TO SELF-TEST </t>
  </si>
  <si>
    <t>Amortization and depreciation ($B)</t>
  </si>
  <si>
    <t>Number of shares ($B)</t>
  </si>
  <si>
    <t>Common equity</t>
  </si>
  <si>
    <t>Stock price per share</t>
  </si>
  <si>
    <t>Earnings per share</t>
  </si>
  <si>
    <t>P/E ratio</t>
  </si>
  <si>
    <t>Cash flow</t>
  </si>
  <si>
    <t>Cash flow per share</t>
  </si>
  <si>
    <t>Price/cash flow</t>
  </si>
  <si>
    <t>Book value per share</t>
  </si>
  <si>
    <t>Market/Book</t>
  </si>
  <si>
    <t>TREND ANALYSIS</t>
  </si>
  <si>
    <t>Trend analysis allows you to see how a firm's results are changing over time.  For instance, a firm's ROE may be slightly below the benchmark, but if it has been steadily rising over the past four years, that should be seen as a good sign.</t>
  </si>
  <si>
    <t>A trend analysis and graph have been constructed on this data regarding MicroDrive's ROE over the past 5 years.  (MicroDrive and indusry average data for earlier years has been provided.)</t>
  </si>
  <si>
    <t>Industry Composite</t>
  </si>
  <si>
    <t>COMMON SIZE ANALYSIS</t>
  </si>
  <si>
    <t>In common size income statements, all items for a year are divided by the sales for that year.</t>
  </si>
  <si>
    <t>Preferred stock</t>
  </si>
  <si>
    <t>In common sheets, all items for a year are divided by the total assets for that year.</t>
  </si>
  <si>
    <t>PERCENT CHANGE ANALYSIS</t>
  </si>
  <si>
    <t>In percent change analysis, all items are divided by the that item's value in the beginning, or base, year.</t>
  </si>
  <si>
    <t>Base year =</t>
  </si>
  <si>
    <t>Percent Change in</t>
  </si>
  <si>
    <t>Total asset turnover</t>
  </si>
  <si>
    <t>Equity multiplier</t>
  </si>
  <si>
    <t>Net income available to common stockholders</t>
  </si>
  <si>
    <t>A company has current liabilities of $800 million, and its current ratio is 2.5.   What is its level of current assets?  If this firm’s quick ratio is 2, how much inventory does it have?</t>
  </si>
  <si>
    <t>A company has EBITDA of $600 million, interest payments of $60 million, lease payments of $40 million, and required principal payments (due this year) of $30 million.  What is its EBITDA coverage ratio?</t>
  </si>
  <si>
    <t xml:space="preserve">A company has $200 billion of sales and $10 billion of net income.  Its total assets are $100 billion, financed half by debt and half by common equity.  What is its profit margin?  What is its ROA?  What is its ROE? </t>
  </si>
  <si>
    <t xml:space="preserve">A company has $6 billion of net income, $2 billion of depreciation and amortization, $80 billion of common equity, and one billion shares of stock.  If its stock price is $96 per share, what is its price/earnings ratio? Its price/cash flow ratio?  Its market/book ratio? </t>
  </si>
  <si>
    <t>A company has a profit margin of 6%, a total asset turnover ratio of 2, and an equity multiplier of 1.5.  What is its ROE?</t>
  </si>
  <si>
    <t>Total current assets</t>
  </si>
  <si>
    <t>Total current liabilities</t>
  </si>
  <si>
    <t>Total liabilities</t>
  </si>
  <si>
    <t xml:space="preserve">Less interest </t>
  </si>
  <si>
    <t>Net Income before preferred dividends</t>
  </si>
  <si>
    <t>Preferred dividends</t>
  </si>
  <si>
    <t>Net Income available to common stockholders</t>
  </si>
  <si>
    <t>MicroDrive Inc.  Balance Sheets and Income Statements for Years Ending December 31</t>
  </si>
  <si>
    <t>(Millions of Dollars, Except for Per Share Data)</t>
  </si>
  <si>
    <t>Taxes (40%)</t>
  </si>
  <si>
    <t>Bonds' required sinking fund payments</t>
  </si>
  <si>
    <t>Common stock price per share</t>
  </si>
  <si>
    <t>Current assets - Inventories ($M)</t>
  </si>
  <si>
    <t>Costs of goods sold except depreciation</t>
  </si>
  <si>
    <t>Other operating expenses</t>
  </si>
  <si>
    <t>Depreciation</t>
  </si>
  <si>
    <t>Return on capital (ROIC)</t>
  </si>
  <si>
    <t>Net operating profit after taxes (NOPAT)</t>
  </si>
  <si>
    <t>Free cash flow (FCF)</t>
  </si>
  <si>
    <t>Net cash flow (Net income + Depreciation)</t>
  </si>
  <si>
    <t>Earnings before interest, taxes, depreciation &amp; amortization (EBITDA) = EBIT + Depreciation &amp; amortization</t>
  </si>
  <si>
    <t>Figure 3-1</t>
  </si>
  <si>
    <t>Inventory Turnover = COGS/Inventories</t>
  </si>
  <si>
    <t>Days Sales Outstanding = Accounts receivable/Daily sales</t>
  </si>
  <si>
    <t xml:space="preserve">A firm has $200 million annual sales, $180 million costs of goods sold, $40 million of inventory, and $60 million of accounts receivable. What is its inventory turnover ratio?  </t>
  </si>
  <si>
    <t>Costs of good sold ($M)</t>
  </si>
  <si>
    <t>Current Ratio = CA/CL</t>
  </si>
  <si>
    <t>Quick Ratio = (CA - Inventories)/CL</t>
  </si>
  <si>
    <t>Total Asset Turnover = Sales/TA</t>
  </si>
  <si>
    <t>Fixed Asset Turnover = Sales/Fixed assets</t>
  </si>
  <si>
    <t>Debt Ratio = Debt-to-Assets Ratio = Total debt/TA</t>
  </si>
  <si>
    <t>Debt-to-Equity Ratio = Total debt/Total common equity</t>
  </si>
  <si>
    <t>Market Debt Ratio = Total debt/(Total debt + Market Cap)</t>
  </si>
  <si>
    <t xml:space="preserve">Market capitalization (# shares x price per share) </t>
  </si>
  <si>
    <t>Liabilities-to-Assets Ratio = TL/TA</t>
  </si>
  <si>
    <t>Times Interest Earned = EBIT/Interest expense</t>
  </si>
  <si>
    <t>Profit Margin = Net income/Sales</t>
  </si>
  <si>
    <t>Basic Earning Power = EBIT/TA</t>
  </si>
  <si>
    <t>Return on Assets = Net income/TA</t>
  </si>
  <si>
    <t>EDITDA per share</t>
  </si>
  <si>
    <t>Return on Equity = Net income/Total common equity</t>
  </si>
  <si>
    <t>Price-to Earnings Ratio = Price/(Net income/# shares)</t>
  </si>
  <si>
    <t>Market-to-Book Ratio = Price/(Total common equity/#shares)</t>
  </si>
  <si>
    <t>Figure 3-2</t>
  </si>
  <si>
    <t>MicroDrive Inc.: Common Size Income Statements</t>
  </si>
  <si>
    <t>Figure 3-3</t>
  </si>
  <si>
    <t>MicroDrive Inc.: Common Size Balance Sheets</t>
  </si>
  <si>
    <t>Figure 3-4</t>
  </si>
  <si>
    <t>Figure 3-5</t>
  </si>
  <si>
    <t>MicroDrive Inc.: Income Statement Percent Change Analysis</t>
  </si>
  <si>
    <t>MicroDrive, Inc.: Return on Common Equity</t>
  </si>
  <si>
    <t>MicroDrive, Inc.: Balance Sheet Percent Change Analysis (not in textbook)</t>
  </si>
  <si>
    <t>Profit margin x</t>
  </si>
  <si>
    <t>TA turnover x</t>
  </si>
  <si>
    <t xml:space="preserve">Year-end shares outstanding </t>
  </si>
  <si>
    <t>Balance Sheets</t>
  </si>
  <si>
    <t>Gross Fixed Assets</t>
  </si>
  <si>
    <t>Less Accumulated Dep.</t>
  </si>
  <si>
    <t>Net Fixed Assets</t>
  </si>
  <si>
    <t>Total Assets</t>
  </si>
  <si>
    <t>Common stock (100,000 shares)</t>
  </si>
  <si>
    <t>Income Statements</t>
  </si>
  <si>
    <t>Costs of Goods Sold Except Depr.</t>
  </si>
  <si>
    <t>Depreciation and amortization</t>
  </si>
  <si>
    <t>Other Expenses</t>
  </si>
  <si>
    <t>Total Operating Cost</t>
  </si>
  <si>
    <t>EPS</t>
  </si>
  <si>
    <t>DPS</t>
  </si>
  <si>
    <t>Book Value Per Share</t>
  </si>
  <si>
    <t xml:space="preserve"> Mini Case Data</t>
  </si>
  <si>
    <t>Tool Kit</t>
  </si>
  <si>
    <t xml:space="preserve">Analysis of Financial Statements </t>
  </si>
  <si>
    <t>3-1 Financial Analysis</t>
  </si>
  <si>
    <t>3-2 Liquidity Ratios</t>
  </si>
  <si>
    <t>3-3 Asset Management Ratios</t>
  </si>
  <si>
    <t>3-4 Debt Management Ratios</t>
  </si>
  <si>
    <t>3-5 Profitability Ratios</t>
  </si>
  <si>
    <t>3-6 Market Value Ratios</t>
  </si>
  <si>
    <t>3-7 Trend Analysis, Common Size Analysis, and Percentage Change Analysis</t>
  </si>
  <si>
    <t>Liabilities and Equity</t>
  </si>
  <si>
    <t>Chapter 3</t>
  </si>
  <si>
    <t>Improved TA turover ratio =</t>
  </si>
  <si>
    <t>Suppose MicroDrive can improve its total asset turnover ratio.</t>
  </si>
  <si>
    <r>
      <t xml:space="preserve">EBITDA Coverage Ratio =
    </t>
    </r>
    <r>
      <rPr>
        <b/>
        <u/>
        <sz val="8"/>
        <rFont val="Cambria"/>
        <family val="1"/>
      </rPr>
      <t xml:space="preserve">  (EBIT + Depreciation + Lease pmt)</t>
    </r>
    <r>
      <rPr>
        <b/>
        <sz val="8"/>
        <rFont val="Cambria"/>
        <family val="1"/>
      </rPr>
      <t xml:space="preserve">
   (Interest + Principal pmt + Lease pmt)</t>
    </r>
  </si>
  <si>
    <r>
      <t xml:space="preserve">Price-to-Cash Flow Ratio =
          </t>
    </r>
    <r>
      <rPr>
        <b/>
        <u/>
        <sz val="8"/>
        <rFont val="Cambria"/>
        <family val="1"/>
      </rPr>
      <t xml:space="preserve">                    Price                </t>
    </r>
    <r>
      <rPr>
        <b/>
        <sz val="8"/>
        <rFont val="Cambria"/>
        <family val="1"/>
      </rPr>
      <t xml:space="preserve">
    (Net income + Depreciation)/# shares</t>
    </r>
  </si>
  <si>
    <r>
      <t xml:space="preserve">Price-to-EBITDA  Ratio =
          </t>
    </r>
    <r>
      <rPr>
        <b/>
        <u/>
        <sz val="8"/>
        <rFont val="Cambria"/>
        <family val="1"/>
      </rPr>
      <t xml:space="preserve">                    Price                </t>
    </r>
    <r>
      <rPr>
        <b/>
        <sz val="8"/>
        <rFont val="Cambria"/>
        <family val="1"/>
      </rPr>
      <t xml:space="preserve">
    (EBIT + Depreciation)/# shares</t>
    </r>
  </si>
  <si>
    <t>Other Data</t>
  </si>
  <si>
    <t>Pre-tax earnings</t>
  </si>
  <si>
    <t>DUPONT ANALYSIS (Section 3-8)</t>
  </si>
  <si>
    <t>SECTION 3-2</t>
  </si>
  <si>
    <t>SECTION 3-4</t>
  </si>
  <si>
    <t>SECTION 3-5</t>
  </si>
  <si>
    <t>SECTION 3-6</t>
  </si>
  <si>
    <t>SECTION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</si>
</sst>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
    <numFmt numFmtId="165" formatCode="0.0"/>
    <numFmt numFmtId="166" formatCode="&quot;$&quot;#,##0.00"/>
    <numFmt numFmtId="167" formatCode="&quot;$&quot;#,##0.0"/>
    <numFmt numFmtId="168" formatCode="&quot;$&quot;#,##0"/>
    <numFmt numFmtId="169" formatCode="0.0%"/>
    <numFmt numFmtId="170" formatCode="&quot;$&quot;#,##0.0_);\(&quot;$&quot;#,##0.0\)"/>
    <numFmt numFmtId="171" formatCode="0.0%_);\(0.0%\)"/>
    <numFmt numFmtId="172" formatCode="###0______;"/>
    <numFmt numFmtId="173" formatCode="0.000"/>
    <numFmt numFmtId="174" formatCode="&quot;$&quot;#,##0.000"/>
    <numFmt numFmtId="175" formatCode="&quot;$&quot;#,##0.000_);[Red]\(&quot;$&quot;#,##0.000\)"/>
  </numFmts>
  <fonts count="42" x14ac:knownFonts="1">
    <font>
      <sz val="8"/>
      <name val="Cambria"/>
      <family val="1"/>
    </font>
    <font>
      <sz val="10"/>
      <name val="Arial"/>
      <family val="2"/>
    </font>
    <font>
      <b/>
      <sz val="8"/>
      <color indexed="81"/>
      <name val="Tahoma"/>
      <family val="2"/>
    </font>
    <font>
      <sz val="8"/>
      <name val="Arial"/>
      <family val="2"/>
    </font>
    <font>
      <b/>
      <sz val="13"/>
      <color indexed="16"/>
      <name val="Arial"/>
      <family val="2"/>
    </font>
    <font>
      <b/>
      <i/>
      <sz val="10"/>
      <color indexed="16"/>
      <name val="Arial"/>
      <family val="2"/>
    </font>
    <font>
      <b/>
      <sz val="10"/>
      <name val="Arial"/>
      <family val="2"/>
    </font>
    <font>
      <b/>
      <sz val="11"/>
      <name val="Cambria"/>
      <family val="1"/>
    </font>
    <font>
      <b/>
      <sz val="11"/>
      <color indexed="16"/>
      <name val="Cambria"/>
      <family val="1"/>
    </font>
    <font>
      <b/>
      <sz val="11"/>
      <name val="Cambria"/>
      <family val="1"/>
      <scheme val="major"/>
    </font>
    <font>
      <b/>
      <sz val="10"/>
      <color indexed="12"/>
      <name val="Arial"/>
      <family val="2"/>
    </font>
    <font>
      <b/>
      <i/>
      <sz val="10"/>
      <name val="Arial"/>
      <family val="2"/>
    </font>
    <font>
      <b/>
      <sz val="10"/>
      <color indexed="16"/>
      <name val="Arial"/>
      <family val="2"/>
    </font>
    <font>
      <b/>
      <u/>
      <sz val="10"/>
      <name val="Arial"/>
      <family val="2"/>
    </font>
    <font>
      <b/>
      <sz val="10"/>
      <color indexed="8"/>
      <name val="Arial"/>
      <family val="2"/>
    </font>
    <font>
      <sz val="10"/>
      <color indexed="81"/>
      <name val="Tahoma"/>
      <family val="2"/>
    </font>
    <font>
      <b/>
      <sz val="10"/>
      <name val="Cambria"/>
      <family val="1"/>
    </font>
    <font>
      <b/>
      <sz val="10"/>
      <name val="Cambria"/>
      <family val="1"/>
      <scheme val="major"/>
    </font>
    <font>
      <b/>
      <sz val="12"/>
      <color rgb="FF800000"/>
      <name val="Cambria"/>
      <family val="1"/>
    </font>
    <font>
      <b/>
      <sz val="14"/>
      <color rgb="FF800000"/>
      <name val="Cambria"/>
      <family val="1"/>
    </font>
    <font>
      <b/>
      <sz val="10"/>
      <color rgb="FF0000CC"/>
      <name val="Cambria"/>
      <family val="1"/>
    </font>
    <font>
      <b/>
      <sz val="8"/>
      <color rgb="FF800000"/>
      <name val="Cambria"/>
      <family val="1"/>
    </font>
    <font>
      <b/>
      <sz val="8"/>
      <name val="Cambria"/>
      <family val="1"/>
    </font>
    <font>
      <b/>
      <sz val="8"/>
      <color indexed="16"/>
      <name val="Cambria"/>
      <family val="1"/>
    </font>
    <font>
      <b/>
      <sz val="8"/>
      <color indexed="18"/>
      <name val="Cambria"/>
      <family val="1"/>
    </font>
    <font>
      <b/>
      <sz val="8"/>
      <color rgb="FF0000CC"/>
      <name val="Cambria"/>
      <family val="1"/>
    </font>
    <font>
      <b/>
      <i/>
      <sz val="8"/>
      <name val="Cambria"/>
      <family val="1"/>
    </font>
    <font>
      <b/>
      <sz val="8"/>
      <name val="Cambria"/>
      <family val="1"/>
      <scheme val="major"/>
    </font>
    <font>
      <b/>
      <sz val="8"/>
      <color indexed="12"/>
      <name val="Cambria"/>
      <family val="1"/>
    </font>
    <font>
      <b/>
      <sz val="8"/>
      <color rgb="FF800000"/>
      <name val="Cambria"/>
      <family val="1"/>
      <scheme val="major"/>
    </font>
    <font>
      <b/>
      <i/>
      <sz val="8"/>
      <name val="Cambria"/>
      <family val="1"/>
      <scheme val="major"/>
    </font>
    <font>
      <b/>
      <u/>
      <sz val="8"/>
      <name val="Cambria"/>
      <family val="1"/>
      <scheme val="major"/>
    </font>
    <font>
      <b/>
      <i/>
      <u/>
      <sz val="8"/>
      <name val="Cambria"/>
      <family val="1"/>
    </font>
    <font>
      <b/>
      <sz val="8"/>
      <name val="Arial"/>
      <family val="2"/>
    </font>
    <font>
      <b/>
      <u/>
      <sz val="8"/>
      <name val="Cambria"/>
      <family val="1"/>
    </font>
    <font>
      <sz val="8"/>
      <name val="Cambria"/>
      <family val="1"/>
    </font>
    <font>
      <b/>
      <sz val="8"/>
      <color indexed="60"/>
      <name val="Cambria"/>
      <family val="1"/>
    </font>
    <font>
      <sz val="8"/>
      <color rgb="FF800000"/>
      <name val="Cambria"/>
      <family val="1"/>
    </font>
    <font>
      <b/>
      <sz val="10"/>
      <color rgb="FF800000"/>
      <name val="Cambria"/>
      <family val="1"/>
    </font>
    <font>
      <b/>
      <i/>
      <sz val="9"/>
      <color rgb="FF800000"/>
      <name val="Cambria"/>
      <family val="1"/>
      <scheme val="major"/>
    </font>
    <font>
      <b/>
      <i/>
      <sz val="8"/>
      <color rgb="FF800000"/>
      <name val="Cambria"/>
      <family val="1"/>
      <scheme val="major"/>
    </font>
    <font>
      <b/>
      <i/>
      <sz val="9"/>
      <color rgb="FF800000"/>
      <name val="Cambria"/>
      <family val="1"/>
    </font>
  </fonts>
  <fills count="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rgb="FFFFFFCC"/>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lignment horizontal="left" vertical="center"/>
    </xf>
    <xf numFmtId="0" fontId="19" fillId="0" borderId="0">
      <alignment horizontal="center" vertical="center"/>
    </xf>
    <xf numFmtId="3" fontId="20" fillId="0" borderId="0" applyNumberFormat="0" applyFill="0" applyBorder="0" applyAlignment="0" applyProtection="0"/>
    <xf numFmtId="0" fontId="17" fillId="0" borderId="0" applyNumberFormat="0" applyFont="0" applyBorder="0" applyAlignment="0"/>
    <xf numFmtId="0" fontId="16" fillId="4" borderId="0" applyNumberFormat="0" applyFont="0" applyBorder="0" applyAlignment="0"/>
  </cellStyleXfs>
  <cellXfs count="367">
    <xf numFmtId="0" fontId="0" fillId="0" borderId="0" xfId="0"/>
    <xf numFmtId="0" fontId="4" fillId="0" borderId="0" xfId="0" applyFont="1"/>
    <xf numFmtId="0" fontId="5" fillId="0" borderId="0" xfId="0" applyFont="1"/>
    <xf numFmtId="0" fontId="6" fillId="0" borderId="0" xfId="0" applyFont="1"/>
    <xf numFmtId="168" fontId="6" fillId="0" borderId="0" xfId="0" applyNumberFormat="1" applyFont="1"/>
    <xf numFmtId="164" fontId="6" fillId="0" borderId="0" xfId="0" applyNumberFormat="1" applyFont="1"/>
    <xf numFmtId="0" fontId="6" fillId="2" borderId="1" xfId="0" applyFont="1" applyFill="1" applyBorder="1"/>
    <xf numFmtId="0" fontId="0" fillId="2" borderId="2" xfId="0" applyFill="1" applyBorder="1"/>
    <xf numFmtId="168" fontId="6" fillId="2" borderId="3" xfId="0" applyNumberFormat="1" applyFont="1" applyFill="1" applyBorder="1"/>
    <xf numFmtId="164" fontId="6" fillId="2" borderId="3" xfId="0" applyNumberFormat="1" applyFont="1" applyFill="1" applyBorder="1"/>
    <xf numFmtId="9" fontId="6" fillId="0" borderId="0" xfId="2" applyFont="1"/>
    <xf numFmtId="10" fontId="6" fillId="2" borderId="3" xfId="2" applyNumberFormat="1" applyFont="1" applyFill="1" applyBorder="1"/>
    <xf numFmtId="3" fontId="6" fillId="0" borderId="0" xfId="0" applyNumberFormat="1" applyFont="1"/>
    <xf numFmtId="4" fontId="6" fillId="2" borderId="3" xfId="2" applyNumberFormat="1" applyFont="1" applyFill="1" applyBorder="1"/>
    <xf numFmtId="0" fontId="6" fillId="0" borderId="0" xfId="0" applyFont="1" applyFill="1" applyBorder="1"/>
    <xf numFmtId="166" fontId="6" fillId="0" borderId="0" xfId="0" applyNumberFormat="1" applyFont="1"/>
    <xf numFmtId="4" fontId="6" fillId="0" borderId="0" xfId="0" applyNumberFormat="1" applyFont="1"/>
    <xf numFmtId="0" fontId="6" fillId="0" borderId="0" xfId="0" applyFont="1" applyAlignment="1">
      <alignment wrapText="1"/>
    </xf>
    <xf numFmtId="169" fontId="6" fillId="0" borderId="0" xfId="2" applyNumberFormat="1" applyFont="1"/>
    <xf numFmtId="165" fontId="6" fillId="0" borderId="0" xfId="0" applyNumberFormat="1" applyFont="1"/>
    <xf numFmtId="169" fontId="6" fillId="2" borderId="3" xfId="2" applyNumberFormat="1" applyFont="1" applyFill="1" applyBorder="1"/>
    <xf numFmtId="0" fontId="7" fillId="0" borderId="0" xfId="0" applyFont="1" applyFill="1"/>
    <xf numFmtId="0" fontId="7" fillId="0" borderId="0" xfId="0" applyNumberFormat="1" applyFont="1" applyFill="1"/>
    <xf numFmtId="0" fontId="6" fillId="0" borderId="0" xfId="0" applyFont="1" applyFill="1"/>
    <xf numFmtId="0" fontId="10" fillId="0" borderId="0" xfId="0" applyFont="1" applyFill="1"/>
    <xf numFmtId="0" fontId="11" fillId="0" borderId="0" xfId="0" applyNumberFormat="1" applyFont="1" applyFill="1"/>
    <xf numFmtId="0" fontId="11" fillId="0" borderId="0" xfId="0" applyFont="1" applyFill="1"/>
    <xf numFmtId="0" fontId="6" fillId="0" borderId="0" xfId="0" applyNumberFormat="1" applyFont="1" applyFill="1" applyAlignment="1">
      <alignment horizontal="center"/>
    </xf>
    <xf numFmtId="0" fontId="6" fillId="0" borderId="0" xfId="0" applyFont="1" applyFill="1" applyAlignment="1">
      <alignment horizontal="center"/>
    </xf>
    <xf numFmtId="0" fontId="6" fillId="0" borderId="4" xfId="0" applyFont="1" applyFill="1" applyBorder="1"/>
    <xf numFmtId="0" fontId="6" fillId="0" borderId="0" xfId="0" applyNumberFormat="1" applyFont="1" applyFill="1"/>
    <xf numFmtId="166" fontId="10" fillId="0" borderId="0" xfId="0" applyNumberFormat="1" applyFont="1" applyFill="1"/>
    <xf numFmtId="8" fontId="10" fillId="0" borderId="0" xfId="1" applyNumberFormat="1" applyFont="1" applyFill="1"/>
    <xf numFmtId="3" fontId="10" fillId="0" borderId="0" xfId="0" applyNumberFormat="1" applyFont="1" applyFill="1"/>
    <xf numFmtId="9" fontId="10" fillId="0" borderId="0" xfId="0" applyNumberFormat="1" applyFont="1" applyFill="1"/>
    <xf numFmtId="9" fontId="10" fillId="0" borderId="0" xfId="2" applyFont="1" applyFill="1"/>
    <xf numFmtId="168" fontId="10" fillId="0" borderId="0" xfId="0" applyNumberFormat="1" applyFont="1" applyFill="1"/>
    <xf numFmtId="0" fontId="12" fillId="3" borderId="5" xfId="0" applyFont="1" applyFill="1" applyBorder="1"/>
    <xf numFmtId="0" fontId="6" fillId="3" borderId="6" xfId="0" applyFont="1" applyFill="1" applyBorder="1"/>
    <xf numFmtId="164" fontId="6" fillId="3" borderId="6" xfId="0" applyNumberFormat="1" applyFont="1" applyFill="1" applyBorder="1"/>
    <xf numFmtId="0" fontId="6" fillId="3" borderId="7" xfId="0" applyFont="1" applyFill="1" applyBorder="1"/>
    <xf numFmtId="0" fontId="12" fillId="3" borderId="8" xfId="0" applyFont="1" applyFill="1" applyBorder="1"/>
    <xf numFmtId="0" fontId="6" fillId="3" borderId="0" xfId="0" applyFont="1" applyFill="1" applyBorder="1"/>
    <xf numFmtId="164" fontId="6" fillId="3" borderId="0" xfId="0" applyNumberFormat="1" applyFont="1" applyFill="1" applyBorder="1"/>
    <xf numFmtId="0" fontId="6" fillId="3" borderId="9" xfId="0" applyFont="1" applyFill="1" applyBorder="1"/>
    <xf numFmtId="0" fontId="6" fillId="3" borderId="8" xfId="0" applyFont="1" applyFill="1" applyBorder="1"/>
    <xf numFmtId="0" fontId="11" fillId="3" borderId="8" xfId="0" applyFont="1" applyFill="1" applyBorder="1"/>
    <xf numFmtId="0" fontId="6" fillId="3" borderId="0" xfId="0" applyNumberFormat="1" applyFont="1" applyFill="1" applyBorder="1"/>
    <xf numFmtId="0" fontId="6" fillId="3" borderId="4" xfId="0" applyNumberFormat="1" applyFont="1" applyFill="1" applyBorder="1"/>
    <xf numFmtId="0" fontId="6" fillId="3" borderId="10" xfId="0" applyFont="1" applyFill="1" applyBorder="1"/>
    <xf numFmtId="168" fontId="6" fillId="3" borderId="0" xfId="0" applyNumberFormat="1" applyFont="1" applyFill="1" applyBorder="1"/>
    <xf numFmtId="168" fontId="6" fillId="3" borderId="9" xfId="1" applyNumberFormat="1" applyFont="1" applyFill="1" applyBorder="1"/>
    <xf numFmtId="168" fontId="6" fillId="3" borderId="9" xfId="0" applyNumberFormat="1" applyFont="1" applyFill="1" applyBorder="1"/>
    <xf numFmtId="168" fontId="6" fillId="3" borderId="11" xfId="0" applyNumberFormat="1" applyFont="1" applyFill="1" applyBorder="1"/>
    <xf numFmtId="168" fontId="6" fillId="3" borderId="12" xfId="0" applyNumberFormat="1" applyFont="1" applyFill="1" applyBorder="1"/>
    <xf numFmtId="168" fontId="6" fillId="3" borderId="22" xfId="0" applyNumberFormat="1" applyFont="1" applyFill="1" applyBorder="1"/>
    <xf numFmtId="168" fontId="6" fillId="3" borderId="23" xfId="0" applyNumberFormat="1" applyFont="1" applyFill="1" applyBorder="1"/>
    <xf numFmtId="168" fontId="6" fillId="3" borderId="13" xfId="0" applyNumberFormat="1" applyFont="1" applyFill="1" applyBorder="1"/>
    <xf numFmtId="168" fontId="6" fillId="3" borderId="20" xfId="0" applyNumberFormat="1" applyFont="1" applyFill="1" applyBorder="1"/>
    <xf numFmtId="168" fontId="6" fillId="3" borderId="14" xfId="0" applyNumberFormat="1" applyFont="1" applyFill="1" applyBorder="1"/>
    <xf numFmtId="168" fontId="13" fillId="3" borderId="0" xfId="0" applyNumberFormat="1" applyFont="1" applyFill="1" applyBorder="1"/>
    <xf numFmtId="168" fontId="14" fillId="3" borderId="9" xfId="0" applyNumberFormat="1" applyFont="1" applyFill="1" applyBorder="1"/>
    <xf numFmtId="0" fontId="6" fillId="3" borderId="15" xfId="0" applyFont="1" applyFill="1" applyBorder="1"/>
    <xf numFmtId="0" fontId="6" fillId="3" borderId="4" xfId="0" applyFont="1" applyFill="1" applyBorder="1"/>
    <xf numFmtId="168" fontId="6" fillId="3" borderId="24" xfId="0" applyNumberFormat="1" applyFont="1" applyFill="1" applyBorder="1"/>
    <xf numFmtId="168" fontId="6" fillId="3" borderId="10" xfId="0" applyNumberFormat="1" applyFont="1" applyFill="1" applyBorder="1"/>
    <xf numFmtId="168" fontId="6" fillId="0" borderId="0" xfId="0" applyNumberFormat="1" applyFont="1" applyFill="1" applyBorder="1"/>
    <xf numFmtId="0" fontId="6" fillId="3" borderId="6" xfId="0" applyNumberFormat="1" applyFont="1" applyFill="1" applyBorder="1"/>
    <xf numFmtId="168" fontId="6" fillId="3" borderId="6" xfId="0" applyNumberFormat="1" applyFont="1" applyFill="1" applyBorder="1"/>
    <xf numFmtId="0" fontId="6" fillId="3" borderId="8" xfId="0" applyFont="1" applyFill="1" applyBorder="1" applyAlignment="1">
      <alignment horizontal="left"/>
    </xf>
    <xf numFmtId="6" fontId="6" fillId="3" borderId="0" xfId="0" applyNumberFormat="1" applyFont="1" applyFill="1" applyBorder="1"/>
    <xf numFmtId="6" fontId="6" fillId="3" borderId="11" xfId="0" applyNumberFormat="1" applyFont="1" applyFill="1" applyBorder="1"/>
    <xf numFmtId="6" fontId="6" fillId="3" borderId="13" xfId="0" applyNumberFormat="1" applyFont="1" applyFill="1" applyBorder="1"/>
    <xf numFmtId="174" fontId="6" fillId="3" borderId="25" xfId="0" applyNumberFormat="1" applyFont="1" applyFill="1" applyBorder="1"/>
    <xf numFmtId="175" fontId="6" fillId="3" borderId="0" xfId="0" applyNumberFormat="1" applyFont="1" applyFill="1" applyBorder="1"/>
    <xf numFmtId="175" fontId="6" fillId="3" borderId="9" xfId="0" applyNumberFormat="1" applyFont="1" applyFill="1" applyBorder="1"/>
    <xf numFmtId="174" fontId="6" fillId="3" borderId="0" xfId="0" applyNumberFormat="1" applyFont="1" applyFill="1" applyBorder="1"/>
    <xf numFmtId="166" fontId="6" fillId="3" borderId="4" xfId="0" applyNumberFormat="1" applyFont="1" applyFill="1" applyBorder="1"/>
    <xf numFmtId="167" fontId="6" fillId="3" borderId="4" xfId="0" applyNumberFormat="1" applyFont="1" applyFill="1" applyBorder="1"/>
    <xf numFmtId="0" fontId="6" fillId="0" borderId="0" xfId="0" applyNumberFormat="1" applyFont="1" applyFill="1" applyBorder="1"/>
    <xf numFmtId="166" fontId="6" fillId="0" borderId="0" xfId="0" applyNumberFormat="1" applyFont="1" applyFill="1" applyBorder="1"/>
    <xf numFmtId="167" fontId="6" fillId="0" borderId="0" xfId="0" applyNumberFormat="1" applyFont="1" applyFill="1" applyBorder="1"/>
    <xf numFmtId="14" fontId="9" fillId="0" borderId="0" xfId="0" applyNumberFormat="1" applyFont="1" applyFill="1"/>
    <xf numFmtId="22" fontId="22" fillId="0" borderId="0" xfId="0" applyNumberFormat="1" applyFont="1" applyFill="1" applyAlignment="1"/>
    <xf numFmtId="0" fontId="22" fillId="0" borderId="0" xfId="0" applyFont="1" applyFill="1"/>
    <xf numFmtId="14" fontId="22" fillId="0" borderId="0" xfId="0" quotePrefix="1" applyNumberFormat="1" applyFont="1" applyFill="1" applyAlignment="1">
      <alignment horizontal="right"/>
    </xf>
    <xf numFmtId="0" fontId="22" fillId="0" borderId="0" xfId="0" applyNumberFormat="1" applyFont="1" applyFill="1" applyAlignment="1">
      <alignment horizontal="center" vertical="center"/>
    </xf>
    <xf numFmtId="0" fontId="23" fillId="0" borderId="0" xfId="0" applyFont="1" applyFill="1" applyAlignment="1"/>
    <xf numFmtId="0" fontId="22" fillId="0" borderId="0" xfId="0" applyNumberFormat="1" applyFont="1" applyFill="1"/>
    <xf numFmtId="0" fontId="22" fillId="0" borderId="0" xfId="0" quotePrefix="1" applyFont="1" applyFill="1" applyAlignment="1">
      <alignment horizontal="left"/>
    </xf>
    <xf numFmtId="0" fontId="22" fillId="0" borderId="0" xfId="0" quotePrefix="1" applyFont="1" applyFill="1"/>
    <xf numFmtId="0" fontId="24" fillId="0" borderId="0" xfId="0" applyFont="1" applyFill="1" applyAlignment="1">
      <alignment vertical="center" wrapText="1"/>
    </xf>
    <xf numFmtId="0" fontId="21" fillId="0" borderId="0" xfId="3" applyFont="1" applyFill="1">
      <alignment horizontal="left" vertical="center"/>
    </xf>
    <xf numFmtId="0" fontId="22" fillId="0" borderId="0" xfId="0" applyNumberFormat="1" applyFont="1" applyFill="1" applyAlignment="1">
      <alignment horizontal="left"/>
    </xf>
    <xf numFmtId="0" fontId="21" fillId="0" borderId="0" xfId="3" applyFont="1">
      <alignment horizontal="left" vertical="center"/>
    </xf>
    <xf numFmtId="3" fontId="25" fillId="0" borderId="0" xfId="5" applyNumberFormat="1" applyFont="1" applyFill="1"/>
    <xf numFmtId="0" fontId="25" fillId="0" borderId="0" xfId="5" applyNumberFormat="1" applyFont="1" applyFill="1"/>
    <xf numFmtId="0" fontId="26" fillId="0" borderId="0" xfId="0" applyNumberFormat="1" applyFont="1" applyFill="1"/>
    <xf numFmtId="0" fontId="26" fillId="0" borderId="0" xfId="0" applyFont="1" applyFill="1"/>
    <xf numFmtId="0" fontId="22" fillId="0" borderId="0" xfId="0" applyNumberFormat="1" applyFont="1" applyFill="1" applyAlignment="1">
      <alignment horizontal="center"/>
    </xf>
    <xf numFmtId="0" fontId="22" fillId="0" borderId="0" xfId="0" applyFont="1" applyFill="1" applyAlignment="1">
      <alignment horizontal="center"/>
    </xf>
    <xf numFmtId="0" fontId="22" fillId="0" borderId="4" xfId="0" applyFont="1" applyFill="1" applyBorder="1"/>
    <xf numFmtId="166" fontId="25" fillId="0" borderId="0" xfId="5" applyNumberFormat="1" applyFont="1" applyFill="1"/>
    <xf numFmtId="166" fontId="27" fillId="0" borderId="0" xfId="0" applyNumberFormat="1" applyFont="1" applyFill="1"/>
    <xf numFmtId="3" fontId="27" fillId="0" borderId="0" xfId="0" applyNumberFormat="1" applyFont="1" applyFill="1"/>
    <xf numFmtId="9" fontId="25" fillId="0" borderId="0" xfId="5" applyNumberFormat="1" applyFont="1" applyFill="1"/>
    <xf numFmtId="9" fontId="27" fillId="0" borderId="0" xfId="0" applyNumberFormat="1" applyFont="1" applyFill="1"/>
    <xf numFmtId="169" fontId="25" fillId="0" borderId="0" xfId="5" applyNumberFormat="1" applyFont="1" applyFill="1"/>
    <xf numFmtId="169" fontId="27" fillId="0" borderId="0" xfId="0" applyNumberFormat="1" applyFont="1" applyFill="1"/>
    <xf numFmtId="168" fontId="25" fillId="0" borderId="0" xfId="5" applyNumberFormat="1" applyFont="1" applyFill="1"/>
    <xf numFmtId="168" fontId="28" fillId="0" borderId="0" xfId="0" applyNumberFormat="1" applyFont="1" applyFill="1"/>
    <xf numFmtId="0" fontId="22" fillId="0" borderId="0" xfId="0" applyFont="1" applyFill="1" applyBorder="1"/>
    <xf numFmtId="0" fontId="29" fillId="4" borderId="5" xfId="0" applyFont="1" applyFill="1" applyBorder="1"/>
    <xf numFmtId="0" fontId="27" fillId="4" borderId="6" xfId="0" applyNumberFormat="1" applyFont="1" applyFill="1" applyBorder="1"/>
    <xf numFmtId="0" fontId="27" fillId="4" borderId="6" xfId="0" applyFont="1" applyFill="1" applyBorder="1"/>
    <xf numFmtId="0" fontId="27" fillId="4" borderId="7" xfId="0" applyFont="1" applyFill="1" applyBorder="1"/>
    <xf numFmtId="0" fontId="27" fillId="0" borderId="0" xfId="6" applyFont="1" applyBorder="1"/>
    <xf numFmtId="0" fontId="27" fillId="0" borderId="0" xfId="0" applyFont="1" applyFill="1" applyBorder="1"/>
    <xf numFmtId="0" fontId="29" fillId="4" borderId="8" xfId="0" applyFont="1" applyFill="1" applyBorder="1"/>
    <xf numFmtId="0" fontId="27" fillId="4" borderId="0" xfId="0" applyNumberFormat="1" applyFont="1" applyFill="1" applyBorder="1"/>
    <xf numFmtId="164" fontId="27" fillId="4" borderId="0" xfId="0" applyNumberFormat="1" applyFont="1" applyFill="1" applyBorder="1"/>
    <xf numFmtId="3" fontId="27" fillId="0" borderId="0" xfId="6" applyNumberFormat="1" applyFont="1" applyBorder="1"/>
    <xf numFmtId="3" fontId="27" fillId="0" borderId="0" xfId="0" applyNumberFormat="1" applyFont="1" applyFill="1" applyBorder="1"/>
    <xf numFmtId="0" fontId="30" fillId="4" borderId="8" xfId="0" applyFont="1" applyFill="1" applyBorder="1"/>
    <xf numFmtId="0" fontId="22" fillId="4" borderId="0" xfId="0" applyNumberFormat="1" applyFont="1" applyFill="1" applyBorder="1"/>
    <xf numFmtId="0" fontId="22" fillId="4" borderId="0" xfId="0" applyFont="1" applyFill="1" applyBorder="1"/>
    <xf numFmtId="0" fontId="22" fillId="4" borderId="9" xfId="0" applyFont="1" applyFill="1" applyBorder="1"/>
    <xf numFmtId="0" fontId="22" fillId="0" borderId="0" xfId="6" applyFont="1" applyBorder="1"/>
    <xf numFmtId="0" fontId="30" fillId="0" borderId="0" xfId="0" applyFont="1" applyFill="1" applyBorder="1"/>
    <xf numFmtId="0" fontId="27" fillId="0" borderId="0" xfId="0" applyNumberFormat="1" applyFont="1" applyFill="1" applyBorder="1"/>
    <xf numFmtId="3" fontId="27" fillId="0" borderId="0" xfId="0" applyNumberFormat="1" applyFont="1" applyFill="1" applyBorder="1" applyAlignment="1"/>
    <xf numFmtId="0" fontId="27" fillId="4" borderId="8" xfId="0" applyFont="1" applyFill="1" applyBorder="1"/>
    <xf numFmtId="42" fontId="25" fillId="4" borderId="0" xfId="5" applyNumberFormat="1" applyFont="1" applyFill="1" applyBorder="1" applyAlignment="1">
      <alignment horizontal="left" indent="1"/>
    </xf>
    <xf numFmtId="42" fontId="27" fillId="0" borderId="0" xfId="0" applyNumberFormat="1" applyFont="1" applyFill="1" applyBorder="1" applyAlignment="1">
      <alignment horizontal="left" indent="1"/>
    </xf>
    <xf numFmtId="41" fontId="25" fillId="4" borderId="0" xfId="5" applyNumberFormat="1" applyFont="1" applyFill="1" applyBorder="1" applyAlignment="1">
      <alignment horizontal="left" indent="1"/>
    </xf>
    <xf numFmtId="41" fontId="27" fillId="0" borderId="0" xfId="0" applyNumberFormat="1" applyFont="1" applyFill="1" applyBorder="1" applyAlignment="1">
      <alignment horizontal="left" indent="1"/>
    </xf>
    <xf numFmtId="41" fontId="25" fillId="4" borderId="11" xfId="5" applyNumberFormat="1" applyFont="1" applyFill="1" applyBorder="1" applyAlignment="1">
      <alignment horizontal="left" indent="1"/>
    </xf>
    <xf numFmtId="0" fontId="27" fillId="4" borderId="8" xfId="0" applyFont="1" applyFill="1" applyBorder="1" applyAlignment="1">
      <alignment horizontal="left" indent="2"/>
    </xf>
    <xf numFmtId="0" fontId="27" fillId="0" borderId="0" xfId="0" applyFont="1" applyFill="1" applyBorder="1" applyAlignment="1">
      <alignment horizontal="left" indent="2"/>
    </xf>
    <xf numFmtId="0" fontId="27" fillId="4" borderId="8" xfId="0" applyFont="1" applyFill="1" applyBorder="1" applyAlignment="1">
      <alignment horizontal="left"/>
    </xf>
    <xf numFmtId="42" fontId="25" fillId="4" borderId="20" xfId="5" applyNumberFormat="1" applyFont="1" applyFill="1" applyBorder="1" applyAlignment="1">
      <alignment horizontal="left" indent="1"/>
    </xf>
    <xf numFmtId="0" fontId="27" fillId="0" borderId="0" xfId="0" applyFont="1" applyFill="1" applyBorder="1" applyAlignment="1">
      <alignment horizontal="left"/>
    </xf>
    <xf numFmtId="0" fontId="31" fillId="0" borderId="0" xfId="0" applyFont="1" applyFill="1" applyBorder="1"/>
    <xf numFmtId="0" fontId="22" fillId="4" borderId="8" xfId="0" applyFont="1" applyFill="1" applyBorder="1"/>
    <xf numFmtId="168" fontId="22" fillId="4" borderId="0" xfId="0" applyNumberFormat="1" applyFont="1" applyFill="1" applyBorder="1"/>
    <xf numFmtId="0" fontId="26" fillId="4" borderId="0" xfId="0" applyFont="1" applyFill="1" applyBorder="1"/>
    <xf numFmtId="0" fontId="27" fillId="0" borderId="0" xfId="0" quotePrefix="1" applyFont="1" applyFill="1" applyBorder="1" applyAlignment="1">
      <alignment horizontal="left" indent="2"/>
    </xf>
    <xf numFmtId="9" fontId="27" fillId="0" borderId="0" xfId="2" applyFont="1" applyFill="1" applyBorder="1"/>
    <xf numFmtId="168" fontId="25" fillId="4" borderId="0" xfId="5" applyNumberFormat="1" applyFont="1" applyFill="1" applyBorder="1"/>
    <xf numFmtId="0" fontId="22" fillId="0" borderId="0" xfId="0" applyNumberFormat="1" applyFont="1" applyFill="1" applyBorder="1"/>
    <xf numFmtId="1" fontId="22" fillId="0" borderId="0" xfId="0" applyNumberFormat="1" applyFont="1" applyFill="1" applyBorder="1"/>
    <xf numFmtId="0" fontId="23" fillId="0" borderId="0" xfId="0" applyFont="1" applyFill="1"/>
    <xf numFmtId="0" fontId="22" fillId="0" borderId="4" xfId="0" applyNumberFormat="1" applyFont="1" applyFill="1" applyBorder="1"/>
    <xf numFmtId="5" fontId="22" fillId="0" borderId="0" xfId="0" applyNumberFormat="1" applyFont="1" applyFill="1"/>
    <xf numFmtId="169" fontId="22" fillId="0" borderId="0" xfId="2" applyNumberFormat="1" applyFont="1" applyFill="1"/>
    <xf numFmtId="5" fontId="22" fillId="0" borderId="0" xfId="0" applyNumberFormat="1" applyFont="1" applyFill="1" applyAlignment="1">
      <alignment horizontal="right"/>
    </xf>
    <xf numFmtId="42" fontId="22" fillId="0" borderId="0" xfId="0" applyNumberFormat="1" applyFont="1" applyFill="1"/>
    <xf numFmtId="0" fontId="22" fillId="0" borderId="0" xfId="0" applyFont="1" applyFill="1" applyAlignment="1">
      <alignment horizontal="left"/>
    </xf>
    <xf numFmtId="0" fontId="22" fillId="0" borderId="0" xfId="0" applyFont="1" applyFill="1" applyAlignment="1">
      <alignment horizontal="left" wrapText="1"/>
    </xf>
    <xf numFmtId="170" fontId="22" fillId="0" borderId="0" xfId="0" applyNumberFormat="1" applyFont="1" applyFill="1"/>
    <xf numFmtId="170" fontId="22" fillId="0" borderId="0" xfId="0" applyNumberFormat="1" applyFont="1" applyFill="1" applyAlignment="1">
      <alignment horizontal="right"/>
    </xf>
    <xf numFmtId="1" fontId="22" fillId="0" borderId="0" xfId="0" applyNumberFormat="1" applyFont="1" applyFill="1"/>
    <xf numFmtId="166" fontId="22" fillId="0" borderId="0" xfId="0" applyNumberFormat="1" applyFont="1" applyFill="1"/>
    <xf numFmtId="7" fontId="22" fillId="0" borderId="0" xfId="1" applyNumberFormat="1" applyFont="1" applyFill="1"/>
    <xf numFmtId="7" fontId="22" fillId="0" borderId="0" xfId="0" applyNumberFormat="1" applyFont="1" applyFill="1"/>
    <xf numFmtId="0" fontId="22" fillId="0" borderId="0" xfId="0" applyFont="1" applyFill="1" applyAlignment="1">
      <alignment horizontal="right"/>
    </xf>
    <xf numFmtId="0" fontId="28" fillId="0" borderId="0" xfId="0" quotePrefix="1" applyFont="1" applyFill="1" applyBorder="1" applyAlignment="1">
      <alignment horizontal="right"/>
    </xf>
    <xf numFmtId="0" fontId="28" fillId="0" borderId="16" xfId="0" applyFont="1" applyFill="1" applyBorder="1" applyAlignment="1">
      <alignment horizontal="right"/>
    </xf>
    <xf numFmtId="0" fontId="32" fillId="0" borderId="0" xfId="0" applyFont="1" applyFill="1" applyAlignment="1">
      <alignment horizontal="left" indent="1"/>
    </xf>
    <xf numFmtId="0" fontId="28" fillId="0" borderId="0" xfId="0" applyFont="1" applyFill="1"/>
    <xf numFmtId="0" fontId="22" fillId="0" borderId="0" xfId="0" applyFont="1" applyFill="1" applyAlignment="1"/>
    <xf numFmtId="165" fontId="22" fillId="0" borderId="0" xfId="0" applyNumberFormat="1" applyFont="1" applyFill="1"/>
    <xf numFmtId="2" fontId="22" fillId="0" borderId="0" xfId="0" applyNumberFormat="1" applyFont="1" applyFill="1"/>
    <xf numFmtId="0" fontId="32" fillId="0" borderId="0" xfId="0" applyFont="1" applyFill="1" applyAlignment="1">
      <alignment horizontal="left" indent="2"/>
    </xf>
    <xf numFmtId="169" fontId="22" fillId="0" borderId="0" xfId="0" applyNumberFormat="1" applyFont="1" applyFill="1"/>
    <xf numFmtId="169" fontId="28" fillId="0" borderId="0" xfId="0" applyNumberFormat="1" applyFont="1" applyFill="1"/>
    <xf numFmtId="2" fontId="28" fillId="0" borderId="0" xfId="0" applyNumberFormat="1" applyFont="1" applyFill="1"/>
    <xf numFmtId="0" fontId="33" fillId="0" borderId="0" xfId="0" applyFont="1" applyFill="1"/>
    <xf numFmtId="165" fontId="28" fillId="0" borderId="0" xfId="0" applyNumberFormat="1" applyFont="1" applyFill="1"/>
    <xf numFmtId="10" fontId="22" fillId="0" borderId="0" xfId="0" applyNumberFormat="1" applyFont="1" applyFill="1"/>
    <xf numFmtId="10" fontId="28" fillId="0" borderId="0" xfId="0" applyNumberFormat="1" applyFont="1" applyFill="1"/>
    <xf numFmtId="0" fontId="28" fillId="0" borderId="0" xfId="0" applyNumberFormat="1" applyFont="1" applyFill="1"/>
    <xf numFmtId="0" fontId="24" fillId="0" borderId="0" xfId="0" applyFont="1" applyFill="1" applyAlignment="1">
      <alignment horizontal="left" vertical="center" wrapText="1"/>
    </xf>
    <xf numFmtId="0" fontId="35" fillId="0" borderId="0" xfId="0" applyFont="1" applyAlignment="1">
      <alignment horizontal="left" vertical="center" wrapText="1"/>
    </xf>
    <xf numFmtId="0" fontId="22" fillId="0" borderId="1" xfId="0" applyNumberFormat="1" applyFont="1" applyFill="1" applyBorder="1" applyAlignment="1">
      <alignment horizontal="center"/>
    </xf>
    <xf numFmtId="0" fontId="22" fillId="0" borderId="1" xfId="0" applyFont="1" applyFill="1" applyBorder="1" applyAlignment="1">
      <alignment horizontal="center"/>
    </xf>
    <xf numFmtId="0" fontId="22" fillId="0" borderId="3" xfId="0" applyFont="1" applyFill="1" applyBorder="1" applyAlignment="1">
      <alignment horizontal="center" wrapText="1"/>
    </xf>
    <xf numFmtId="0" fontId="22" fillId="0" borderId="8" xfId="0" applyNumberFormat="1" applyFont="1" applyFill="1" applyBorder="1" applyAlignment="1">
      <alignment horizontal="center"/>
    </xf>
    <xf numFmtId="169" fontId="28" fillId="0" borderId="8" xfId="2" applyNumberFormat="1" applyFont="1" applyFill="1" applyBorder="1" applyAlignment="1">
      <alignment horizontal="center"/>
    </xf>
    <xf numFmtId="169" fontId="36" fillId="0" borderId="9" xfId="2" applyNumberFormat="1" applyFont="1" applyFill="1" applyBorder="1" applyAlignment="1">
      <alignment horizontal="center"/>
    </xf>
    <xf numFmtId="0" fontId="22" fillId="0" borderId="15" xfId="0" applyNumberFormat="1" applyFont="1" applyFill="1" applyBorder="1" applyAlignment="1">
      <alignment horizontal="center"/>
    </xf>
    <xf numFmtId="169" fontId="28" fillId="0" borderId="15" xfId="2" applyNumberFormat="1" applyFont="1" applyFill="1" applyBorder="1" applyAlignment="1">
      <alignment horizontal="center"/>
    </xf>
    <xf numFmtId="169" fontId="36" fillId="0" borderId="10" xfId="2" applyNumberFormat="1" applyFont="1" applyFill="1" applyBorder="1" applyAlignment="1">
      <alignment horizontal="center"/>
    </xf>
    <xf numFmtId="0" fontId="27" fillId="4" borderId="9" xfId="0" applyFont="1" applyFill="1" applyBorder="1"/>
    <xf numFmtId="2" fontId="22" fillId="4" borderId="0" xfId="0" applyNumberFormat="1" applyFont="1" applyFill="1" applyBorder="1"/>
    <xf numFmtId="0" fontId="28" fillId="4" borderId="0" xfId="0" applyFont="1" applyFill="1" applyBorder="1"/>
    <xf numFmtId="0" fontId="22" fillId="4" borderId="15" xfId="0" applyFont="1" applyFill="1" applyBorder="1"/>
    <xf numFmtId="0" fontId="22" fillId="4" borderId="4" xfId="0" applyNumberFormat="1" applyFont="1" applyFill="1" applyBorder="1"/>
    <xf numFmtId="2" fontId="22" fillId="4" borderId="4" xfId="0" applyNumberFormat="1" applyFont="1" applyFill="1" applyBorder="1"/>
    <xf numFmtId="0" fontId="28" fillId="4" borderId="4" xfId="0" applyFont="1" applyFill="1" applyBorder="1"/>
    <xf numFmtId="0" fontId="22" fillId="4" borderId="10" xfId="0" applyFont="1" applyFill="1" applyBorder="1"/>
    <xf numFmtId="0" fontId="35" fillId="0" borderId="0" xfId="0" applyFont="1" applyFill="1"/>
    <xf numFmtId="0" fontId="35" fillId="0" borderId="0" xfId="0" applyFont="1"/>
    <xf numFmtId="0" fontId="35" fillId="0" borderId="0" xfId="0" applyFont="1" applyBorder="1"/>
    <xf numFmtId="0" fontId="35" fillId="0" borderId="0" xfId="6" applyFont="1" applyBorder="1"/>
    <xf numFmtId="168" fontId="22" fillId="3" borderId="0" xfId="0" applyNumberFormat="1" applyFont="1" applyFill="1" applyBorder="1"/>
    <xf numFmtId="0" fontId="35" fillId="0" borderId="0" xfId="0" applyFont="1" applyFill="1" applyBorder="1"/>
    <xf numFmtId="0" fontId="22" fillId="3" borderId="15" xfId="0" applyFont="1" applyFill="1" applyBorder="1"/>
    <xf numFmtId="0" fontId="22" fillId="3" borderId="4" xfId="0" applyFont="1" applyFill="1" applyBorder="1"/>
    <xf numFmtId="0" fontId="22" fillId="3" borderId="6" xfId="0" applyFont="1" applyFill="1" applyBorder="1"/>
    <xf numFmtId="167" fontId="22" fillId="0" borderId="0" xfId="0" applyNumberFormat="1" applyFont="1" applyFill="1" applyBorder="1"/>
    <xf numFmtId="0" fontId="22" fillId="3" borderId="0" xfId="0" applyFont="1" applyFill="1" applyBorder="1"/>
    <xf numFmtId="169" fontId="21" fillId="3" borderId="0" xfId="2" applyNumberFormat="1" applyFont="1" applyFill="1" applyBorder="1" applyAlignment="1">
      <alignment horizontal="right" indent="1"/>
    </xf>
    <xf numFmtId="169" fontId="22" fillId="3" borderId="0" xfId="2" applyNumberFormat="1" applyFont="1" applyFill="1" applyBorder="1" applyAlignment="1">
      <alignment horizontal="right" indent="1"/>
    </xf>
    <xf numFmtId="169" fontId="22" fillId="0" borderId="0" xfId="2" applyNumberFormat="1" applyFont="1" applyFill="1" applyBorder="1"/>
    <xf numFmtId="169" fontId="21" fillId="3" borderId="11" xfId="2" applyNumberFormat="1" applyFont="1" applyFill="1" applyBorder="1" applyAlignment="1">
      <alignment horizontal="right" indent="1"/>
    </xf>
    <xf numFmtId="169" fontId="22" fillId="3" borderId="11" xfId="2" applyNumberFormat="1" applyFont="1" applyFill="1" applyBorder="1" applyAlignment="1">
      <alignment horizontal="right" indent="1"/>
    </xf>
    <xf numFmtId="169" fontId="21" fillId="3" borderId="13" xfId="2" applyNumberFormat="1" applyFont="1" applyFill="1" applyBorder="1" applyAlignment="1">
      <alignment horizontal="right" indent="1"/>
    </xf>
    <xf numFmtId="169" fontId="22" fillId="3" borderId="13" xfId="2" applyNumberFormat="1" applyFont="1" applyFill="1" applyBorder="1" applyAlignment="1">
      <alignment horizontal="right" indent="1"/>
    </xf>
    <xf numFmtId="0" fontId="22" fillId="3" borderId="8" xfId="0" applyFont="1" applyFill="1" applyBorder="1"/>
    <xf numFmtId="0" fontId="35" fillId="0" borderId="0" xfId="6" applyFont="1"/>
    <xf numFmtId="0" fontId="22" fillId="3" borderId="4" xfId="0" applyNumberFormat="1" applyFont="1" applyFill="1" applyBorder="1"/>
    <xf numFmtId="0" fontId="22" fillId="3" borderId="0" xfId="0" applyNumberFormat="1" applyFont="1" applyFill="1" applyBorder="1"/>
    <xf numFmtId="0" fontId="22" fillId="3" borderId="9" xfId="0" applyNumberFormat="1" applyFont="1" applyFill="1" applyBorder="1"/>
    <xf numFmtId="169" fontId="35" fillId="0" borderId="0" xfId="0" applyNumberFormat="1" applyFont="1" applyFill="1" applyBorder="1"/>
    <xf numFmtId="169" fontId="37" fillId="3" borderId="0" xfId="0" applyNumberFormat="1" applyFont="1" applyFill="1" applyBorder="1" applyAlignment="1">
      <alignment horizontal="right" indent="1"/>
    </xf>
    <xf numFmtId="168" fontId="22" fillId="0" borderId="0" xfId="6" applyNumberFormat="1" applyFont="1" applyBorder="1"/>
    <xf numFmtId="168" fontId="22" fillId="0" borderId="0" xfId="0" applyNumberFormat="1" applyFont="1" applyFill="1" applyBorder="1"/>
    <xf numFmtId="0" fontId="22" fillId="0" borderId="0" xfId="0" applyFont="1" applyFill="1" applyBorder="1" applyAlignment="1">
      <alignment horizontal="right"/>
    </xf>
    <xf numFmtId="0" fontId="22" fillId="0" borderId="0" xfId="6" applyNumberFormat="1" applyFont="1" applyBorder="1"/>
    <xf numFmtId="171" fontId="22" fillId="3" borderId="9" xfId="2" applyNumberFormat="1" applyFont="1" applyFill="1" applyBorder="1" applyAlignment="1">
      <alignment horizontal="right" indent="1"/>
    </xf>
    <xf numFmtId="167" fontId="22" fillId="0" borderId="0" xfId="6" applyNumberFormat="1" applyFont="1" applyBorder="1"/>
    <xf numFmtId="0" fontId="22" fillId="0" borderId="0" xfId="0" quotePrefix="1" applyFont="1" applyFill="1" applyBorder="1" applyAlignment="1">
      <alignment horizontal="left"/>
    </xf>
    <xf numFmtId="171" fontId="22" fillId="3" borderId="12" xfId="2" applyNumberFormat="1" applyFont="1" applyFill="1" applyBorder="1" applyAlignment="1">
      <alignment horizontal="right" indent="1"/>
    </xf>
    <xf numFmtId="0" fontId="22" fillId="0" borderId="0" xfId="0" applyFont="1" applyFill="1" applyBorder="1" applyAlignment="1">
      <alignment horizontal="left"/>
    </xf>
    <xf numFmtId="0" fontId="29" fillId="4" borderId="1" xfId="0" applyFont="1" applyFill="1" applyBorder="1"/>
    <xf numFmtId="0" fontId="22" fillId="3" borderId="2" xfId="0" applyFont="1" applyFill="1" applyBorder="1"/>
    <xf numFmtId="0" fontId="22" fillId="3" borderId="3" xfId="0" applyFont="1" applyFill="1" applyBorder="1"/>
    <xf numFmtId="0" fontId="22" fillId="3" borderId="5" xfId="0" applyFont="1" applyFill="1" applyBorder="1" applyAlignment="1">
      <alignment horizontal="right"/>
    </xf>
    <xf numFmtId="0" fontId="22" fillId="3" borderId="6" xfId="0" applyNumberFormat="1" applyFont="1" applyFill="1" applyBorder="1" applyAlignment="1">
      <alignment horizontal="left"/>
    </xf>
    <xf numFmtId="0" fontId="22" fillId="3" borderId="7" xfId="0" applyFont="1" applyFill="1" applyBorder="1" applyAlignment="1">
      <alignment horizontal="center" wrapText="1"/>
    </xf>
    <xf numFmtId="0" fontId="22" fillId="3" borderId="19" xfId="0" applyFont="1" applyFill="1" applyBorder="1"/>
    <xf numFmtId="0" fontId="22" fillId="3" borderId="11" xfId="0" applyNumberFormat="1" applyFont="1" applyFill="1" applyBorder="1"/>
    <xf numFmtId="0" fontId="22" fillId="3" borderId="11" xfId="0" applyFont="1" applyFill="1" applyBorder="1"/>
    <xf numFmtId="0" fontId="22" fillId="3" borderId="12" xfId="0" applyNumberFormat="1" applyFont="1" applyFill="1" applyBorder="1" applyAlignment="1">
      <alignment horizontal="center"/>
    </xf>
    <xf numFmtId="171" fontId="22" fillId="3" borderId="14" xfId="2" applyNumberFormat="1" applyFont="1" applyFill="1" applyBorder="1" applyAlignment="1">
      <alignment horizontal="right" indent="1"/>
    </xf>
    <xf numFmtId="171" fontId="22" fillId="3" borderId="21" xfId="2" applyNumberFormat="1" applyFont="1" applyFill="1" applyBorder="1" applyAlignment="1">
      <alignment horizontal="right" indent="1"/>
    </xf>
    <xf numFmtId="0" fontId="35" fillId="3" borderId="10" xfId="0" applyFont="1" applyFill="1" applyBorder="1"/>
    <xf numFmtId="0" fontId="36" fillId="0" borderId="0" xfId="0" applyFont="1" applyFill="1"/>
    <xf numFmtId="0" fontId="26" fillId="0" borderId="0" xfId="0" applyNumberFormat="1" applyFont="1" applyFill="1" applyAlignment="1">
      <alignment horizontal="right"/>
    </xf>
    <xf numFmtId="0" fontId="22" fillId="0" borderId="0" xfId="0" applyFont="1" applyFill="1" applyAlignment="1">
      <alignment horizontal="center" wrapText="1"/>
    </xf>
    <xf numFmtId="0" fontId="22" fillId="0" borderId="0" xfId="0" quotePrefix="1" applyFont="1" applyFill="1" applyAlignment="1">
      <alignment horizontal="right"/>
    </xf>
    <xf numFmtId="169" fontId="22" fillId="2" borderId="17" xfId="0" applyNumberFormat="1" applyFont="1" applyFill="1" applyBorder="1" applyAlignment="1">
      <alignment horizontal="center"/>
    </xf>
    <xf numFmtId="10" fontId="22" fillId="0" borderId="0" xfId="0" applyNumberFormat="1" applyFont="1" applyFill="1" applyAlignment="1">
      <alignment horizontal="center"/>
    </xf>
    <xf numFmtId="2" fontId="22" fillId="0" borderId="0" xfId="0" applyNumberFormat="1" applyFont="1" applyFill="1" applyAlignment="1">
      <alignment horizontal="center"/>
    </xf>
    <xf numFmtId="173" fontId="22" fillId="0" borderId="0" xfId="0" applyNumberFormat="1" applyFont="1" applyFill="1" applyAlignment="1">
      <alignment horizontal="center"/>
    </xf>
    <xf numFmtId="169" fontId="22" fillId="2" borderId="18" xfId="0" applyNumberFormat="1" applyFont="1" applyFill="1" applyBorder="1" applyAlignment="1">
      <alignment horizontal="center"/>
    </xf>
    <xf numFmtId="0" fontId="28" fillId="0" borderId="0" xfId="0" applyFont="1" applyFill="1" applyAlignment="1">
      <alignment horizontal="right"/>
    </xf>
    <xf numFmtId="169" fontId="28" fillId="2" borderId="18" xfId="0" applyNumberFormat="1" applyFont="1" applyFill="1" applyBorder="1" applyAlignment="1">
      <alignment horizontal="center"/>
    </xf>
    <xf numFmtId="10" fontId="28" fillId="0" borderId="0" xfId="0" applyNumberFormat="1" applyFont="1" applyFill="1" applyAlignment="1">
      <alignment horizontal="center"/>
    </xf>
    <xf numFmtId="2" fontId="28" fillId="0" borderId="0" xfId="0" applyNumberFormat="1" applyFont="1" applyFill="1" applyAlignment="1">
      <alignment horizontal="center"/>
    </xf>
    <xf numFmtId="173" fontId="28" fillId="0" borderId="0" xfId="0" applyNumberFormat="1" applyFont="1" applyFill="1" applyAlignment="1">
      <alignment horizontal="center"/>
    </xf>
    <xf numFmtId="169" fontId="22" fillId="2" borderId="26" xfId="0" applyNumberFormat="1" applyFont="1" applyFill="1" applyBorder="1" applyAlignment="1">
      <alignment horizontal="center"/>
    </xf>
    <xf numFmtId="0" fontId="38" fillId="0" borderId="0" xfId="4" applyFont="1">
      <alignment horizontal="center" vertical="center"/>
    </xf>
    <xf numFmtId="0" fontId="38" fillId="0" borderId="0" xfId="4" quotePrefix="1" applyFont="1">
      <alignment horizontal="center" vertical="center"/>
    </xf>
    <xf numFmtId="0" fontId="38" fillId="0" borderId="0" xfId="4" applyFont="1" applyAlignment="1">
      <alignment horizontal="left" vertical="center"/>
    </xf>
    <xf numFmtId="0" fontId="38" fillId="0" borderId="0" xfId="3" applyFont="1" applyFill="1">
      <alignment horizontal="left" vertical="center"/>
    </xf>
    <xf numFmtId="0" fontId="29" fillId="4" borderId="27" xfId="0" applyFont="1" applyFill="1" applyBorder="1"/>
    <xf numFmtId="0" fontId="27" fillId="4" borderId="28" xfId="0" applyNumberFormat="1" applyFont="1" applyFill="1" applyBorder="1"/>
    <xf numFmtId="0" fontId="27" fillId="4" borderId="28" xfId="0" applyFont="1" applyFill="1" applyBorder="1"/>
    <xf numFmtId="0" fontId="27" fillId="4" borderId="29" xfId="0" applyFont="1" applyFill="1" applyBorder="1"/>
    <xf numFmtId="0" fontId="29" fillId="4" borderId="30" xfId="0" applyFont="1" applyFill="1" applyBorder="1"/>
    <xf numFmtId="164" fontId="27" fillId="4" borderId="31" xfId="0" applyNumberFormat="1" applyFont="1" applyFill="1" applyBorder="1"/>
    <xf numFmtId="0" fontId="22" fillId="4" borderId="31" xfId="0" applyFont="1" applyFill="1" applyBorder="1"/>
    <xf numFmtId="0" fontId="27" fillId="4" borderId="30" xfId="0" applyFont="1" applyFill="1" applyBorder="1"/>
    <xf numFmtId="42" fontId="25" fillId="4" borderId="31" xfId="5" applyNumberFormat="1" applyFont="1" applyFill="1" applyBorder="1" applyAlignment="1">
      <alignment horizontal="left" indent="1"/>
    </xf>
    <xf numFmtId="41" fontId="25" fillId="4" borderId="31" xfId="5" applyNumberFormat="1" applyFont="1" applyFill="1" applyBorder="1" applyAlignment="1">
      <alignment horizontal="left" indent="1"/>
    </xf>
    <xf numFmtId="41" fontId="25" fillId="4" borderId="32" xfId="5" applyNumberFormat="1" applyFont="1" applyFill="1" applyBorder="1" applyAlignment="1">
      <alignment horizontal="left" indent="1"/>
    </xf>
    <xf numFmtId="0" fontId="27" fillId="4" borderId="30" xfId="0" applyFont="1" applyFill="1" applyBorder="1" applyAlignment="1">
      <alignment horizontal="left" indent="2"/>
    </xf>
    <xf numFmtId="0" fontId="27" fillId="4" borderId="30" xfId="0" applyFont="1" applyFill="1" applyBorder="1" applyAlignment="1">
      <alignment horizontal="left"/>
    </xf>
    <xf numFmtId="42" fontId="25" fillId="4" borderId="33" xfId="5" applyNumberFormat="1" applyFont="1" applyFill="1" applyBorder="1" applyAlignment="1">
      <alignment horizontal="left" indent="1"/>
    </xf>
    <xf numFmtId="0" fontId="22" fillId="4" borderId="30" xfId="0" applyFont="1" applyFill="1" applyBorder="1"/>
    <xf numFmtId="168" fontId="22" fillId="4" borderId="31" xfId="0" applyNumberFormat="1" applyFont="1" applyFill="1" applyBorder="1"/>
    <xf numFmtId="168" fontId="25" fillId="4" borderId="31" xfId="5" applyNumberFormat="1" applyFont="1" applyFill="1" applyBorder="1"/>
    <xf numFmtId="0" fontId="22" fillId="4" borderId="35" xfId="7" applyFont="1" applyBorder="1"/>
    <xf numFmtId="0" fontId="22" fillId="4" borderId="11" xfId="7" applyNumberFormat="1" applyFont="1" applyBorder="1"/>
    <xf numFmtId="0" fontId="22" fillId="4" borderId="11" xfId="7" applyFont="1" applyBorder="1"/>
    <xf numFmtId="167" fontId="22" fillId="4" borderId="11" xfId="7" applyNumberFormat="1" applyFont="1" applyBorder="1"/>
    <xf numFmtId="167" fontId="22" fillId="4" borderId="32" xfId="7" applyNumberFormat="1" applyFont="1" applyBorder="1"/>
    <xf numFmtId="0" fontId="29" fillId="4" borderId="35" xfId="0" applyFont="1" applyFill="1" applyBorder="1"/>
    <xf numFmtId="0" fontId="27" fillId="4" borderId="11" xfId="0" applyNumberFormat="1" applyFont="1" applyFill="1" applyBorder="1"/>
    <xf numFmtId="164" fontId="27" fillId="4" borderId="11" xfId="0" applyNumberFormat="1" applyFont="1" applyFill="1" applyBorder="1"/>
    <xf numFmtId="3" fontId="27" fillId="4" borderId="32" xfId="0" applyNumberFormat="1" applyFont="1" applyFill="1" applyBorder="1"/>
    <xf numFmtId="42" fontId="25" fillId="4" borderId="25" xfId="5" applyNumberFormat="1" applyFont="1" applyFill="1" applyBorder="1" applyAlignment="1">
      <alignment horizontal="left" indent="1"/>
    </xf>
    <xf numFmtId="0" fontId="40" fillId="4" borderId="30" xfId="0" applyFont="1" applyFill="1" applyBorder="1"/>
    <xf numFmtId="0" fontId="40" fillId="4" borderId="30" xfId="0" applyFont="1" applyFill="1" applyBorder="1" applyAlignment="1">
      <alignment horizontal="left" indent="1"/>
    </xf>
    <xf numFmtId="0" fontId="22" fillId="4" borderId="30" xfId="0" quotePrefix="1" applyFont="1" applyFill="1" applyBorder="1" applyAlignment="1">
      <alignment horizontal="left" vertical="top"/>
    </xf>
    <xf numFmtId="0" fontId="22" fillId="4" borderId="30" xfId="0" applyFont="1" applyFill="1" applyBorder="1" applyAlignment="1">
      <alignment vertical="top"/>
    </xf>
    <xf numFmtId="0" fontId="22" fillId="4" borderId="22" xfId="0" applyNumberFormat="1" applyFont="1" applyFill="1" applyBorder="1" applyAlignment="1">
      <alignment horizontal="left" indent="2"/>
    </xf>
    <xf numFmtId="0" fontId="22" fillId="4" borderId="36" xfId="0" applyNumberFormat="1" applyFont="1" applyFill="1" applyBorder="1" applyAlignment="1">
      <alignment horizontal="left" indent="2"/>
    </xf>
    <xf numFmtId="0" fontId="22" fillId="4" borderId="11" xfId="0" applyNumberFormat="1" applyFont="1" applyFill="1" applyBorder="1" applyAlignment="1">
      <alignment horizontal="left" indent="2"/>
    </xf>
    <xf numFmtId="0" fontId="22" fillId="4" borderId="32" xfId="0" applyNumberFormat="1" applyFont="1" applyFill="1" applyBorder="1" applyAlignment="1">
      <alignment horizontal="left" indent="2"/>
    </xf>
    <xf numFmtId="0" fontId="39" fillId="4" borderId="27" xfId="0" applyNumberFormat="1" applyFont="1" applyFill="1" applyBorder="1"/>
    <xf numFmtId="0" fontId="30" fillId="4" borderId="28" xfId="0" applyNumberFormat="1" applyFont="1" applyFill="1" applyBorder="1"/>
    <xf numFmtId="164" fontId="27" fillId="4" borderId="28" xfId="0" applyNumberFormat="1" applyFont="1" applyFill="1" applyBorder="1"/>
    <xf numFmtId="0" fontId="41" fillId="4" borderId="30" xfId="0" applyFont="1" applyFill="1" applyBorder="1"/>
    <xf numFmtId="42" fontId="25" fillId="4" borderId="37" xfId="5" applyNumberFormat="1" applyFont="1" applyFill="1" applyBorder="1" applyAlignment="1">
      <alignment horizontal="left" indent="1"/>
    </xf>
    <xf numFmtId="0" fontId="29" fillId="4" borderId="35" xfId="0" applyFont="1" applyFill="1" applyBorder="1" applyAlignment="1">
      <alignment vertical="center"/>
    </xf>
    <xf numFmtId="0" fontId="35" fillId="4" borderId="29" xfId="0" applyFont="1" applyFill="1" applyBorder="1"/>
    <xf numFmtId="0" fontId="35" fillId="4" borderId="32" xfId="0" applyFont="1" applyFill="1" applyBorder="1"/>
    <xf numFmtId="0" fontId="21" fillId="3" borderId="22" xfId="0" applyNumberFormat="1" applyFont="1" applyFill="1" applyBorder="1" applyAlignment="1">
      <alignment horizontal="center" wrapText="1"/>
    </xf>
    <xf numFmtId="0" fontId="23" fillId="3" borderId="27" xfId="0" applyFont="1" applyFill="1" applyBorder="1"/>
    <xf numFmtId="168" fontId="22" fillId="3" borderId="28" xfId="0" applyNumberFormat="1" applyFont="1" applyFill="1" applyBorder="1"/>
    <xf numFmtId="0" fontId="22" fillId="3" borderId="35" xfId="0" applyFont="1" applyFill="1" applyBorder="1"/>
    <xf numFmtId="172" fontId="21" fillId="3" borderId="11" xfId="0" applyNumberFormat="1" applyFont="1" applyFill="1" applyBorder="1" applyAlignment="1">
      <alignment horizontal="right"/>
    </xf>
    <xf numFmtId="172" fontId="22" fillId="3" borderId="11" xfId="0" applyNumberFormat="1" applyFont="1" applyFill="1" applyBorder="1" applyAlignment="1">
      <alignment horizontal="right"/>
    </xf>
    <xf numFmtId="172" fontId="22" fillId="3" borderId="32" xfId="0" applyNumberFormat="1" applyFont="1" applyFill="1" applyBorder="1" applyAlignment="1">
      <alignment horizontal="right"/>
    </xf>
    <xf numFmtId="0" fontId="22" fillId="3" borderId="25" xfId="0" applyFont="1" applyFill="1" applyBorder="1"/>
    <xf numFmtId="0" fontId="27" fillId="4" borderId="27" xfId="0" applyFont="1" applyFill="1" applyBorder="1"/>
    <xf numFmtId="0" fontId="22" fillId="3" borderId="28" xfId="0" applyFont="1" applyFill="1" applyBorder="1"/>
    <xf numFmtId="169" fontId="21" fillId="3" borderId="28" xfId="2" applyNumberFormat="1" applyFont="1" applyFill="1" applyBorder="1" applyAlignment="1">
      <alignment horizontal="right" indent="1"/>
    </xf>
    <xf numFmtId="169" fontId="22" fillId="3" borderId="28" xfId="2" applyNumberFormat="1" applyFont="1" applyFill="1" applyBorder="1" applyAlignment="1">
      <alignment horizontal="right" indent="1"/>
    </xf>
    <xf numFmtId="169" fontId="22" fillId="3" borderId="29" xfId="2" applyNumberFormat="1" applyFont="1" applyFill="1" applyBorder="1" applyAlignment="1">
      <alignment horizontal="right" indent="1"/>
    </xf>
    <xf numFmtId="169" fontId="22" fillId="3" borderId="31" xfId="2" applyNumberFormat="1" applyFont="1" applyFill="1" applyBorder="1" applyAlignment="1">
      <alignment horizontal="right" indent="1"/>
    </xf>
    <xf numFmtId="169" fontId="22" fillId="3" borderId="32" xfId="2" applyNumberFormat="1" applyFont="1" applyFill="1" applyBorder="1" applyAlignment="1">
      <alignment horizontal="right" indent="1"/>
    </xf>
    <xf numFmtId="0" fontId="22" fillId="3" borderId="30" xfId="0" applyFont="1" applyFill="1" applyBorder="1"/>
    <xf numFmtId="0" fontId="22" fillId="3" borderId="37" xfId="0" applyFont="1" applyFill="1" applyBorder="1"/>
    <xf numFmtId="0" fontId="23" fillId="4" borderId="35" xfId="7" applyFont="1" applyBorder="1"/>
    <xf numFmtId="0" fontId="35" fillId="4" borderId="11" xfId="7" applyFont="1" applyBorder="1"/>
    <xf numFmtId="0" fontId="35" fillId="4" borderId="32" xfId="7" applyFont="1" applyBorder="1"/>
    <xf numFmtId="0" fontId="29" fillId="4" borderId="35" xfId="0" applyFont="1" applyFill="1" applyBorder="1" applyAlignment="1">
      <alignment vertical="top"/>
    </xf>
    <xf numFmtId="164" fontId="27" fillId="4" borderId="32" xfId="0" applyNumberFormat="1" applyFont="1" applyFill="1" applyBorder="1"/>
    <xf numFmtId="0" fontId="22" fillId="3" borderId="27" xfId="0" applyFont="1" applyFill="1" applyBorder="1"/>
    <xf numFmtId="0" fontId="35" fillId="3" borderId="28" xfId="0" applyFont="1" applyFill="1" applyBorder="1"/>
    <xf numFmtId="0" fontId="21" fillId="3" borderId="11" xfId="0" applyNumberFormat="1" applyFont="1" applyFill="1" applyBorder="1" applyAlignment="1">
      <alignment horizontal="right" indent="2"/>
    </xf>
    <xf numFmtId="0" fontId="22" fillId="3" borderId="11" xfId="0" applyNumberFormat="1" applyFont="1" applyFill="1" applyBorder="1" applyAlignment="1">
      <alignment horizontal="left" indent="2"/>
    </xf>
    <xf numFmtId="0" fontId="22" fillId="3" borderId="32" xfId="0" applyNumberFormat="1" applyFont="1" applyFill="1" applyBorder="1" applyAlignment="1">
      <alignment horizontal="left" indent="2"/>
    </xf>
    <xf numFmtId="0" fontId="40" fillId="4" borderId="27" xfId="0" applyFont="1" applyFill="1" applyBorder="1"/>
    <xf numFmtId="0" fontId="22" fillId="3" borderId="28" xfId="0" applyNumberFormat="1" applyFont="1" applyFill="1" applyBorder="1"/>
    <xf numFmtId="0" fontId="21" fillId="3" borderId="28" xfId="0" applyNumberFormat="1" applyFont="1" applyFill="1" applyBorder="1" applyAlignment="1">
      <alignment horizontal="center" wrapText="1"/>
    </xf>
    <xf numFmtId="0" fontId="22" fillId="3" borderId="29" xfId="0" applyNumberFormat="1" applyFont="1" applyFill="1" applyBorder="1"/>
    <xf numFmtId="169" fontId="22" fillId="3" borderId="34" xfId="2" applyNumberFormat="1" applyFont="1" applyFill="1" applyBorder="1" applyAlignment="1">
      <alignment horizontal="right" indent="1"/>
    </xf>
    <xf numFmtId="168" fontId="22" fillId="4" borderId="0" xfId="7" applyNumberFormat="1" applyFont="1" applyBorder="1"/>
    <xf numFmtId="0" fontId="27" fillId="4" borderId="35" xfId="0" applyFont="1" applyFill="1" applyBorder="1"/>
    <xf numFmtId="168" fontId="22" fillId="3" borderId="11" xfId="0" applyNumberFormat="1" applyFont="1" applyFill="1" applyBorder="1"/>
    <xf numFmtId="169" fontId="28" fillId="3" borderId="38" xfId="2" applyNumberFormat="1" applyFont="1" applyFill="1" applyBorder="1" applyAlignment="1">
      <alignment horizontal="right" indent="1"/>
    </xf>
    <xf numFmtId="169" fontId="22" fillId="3" borderId="38" xfId="2" applyNumberFormat="1" applyFont="1" applyFill="1" applyBorder="1" applyAlignment="1">
      <alignment horizontal="right" indent="1"/>
    </xf>
    <xf numFmtId="169" fontId="22" fillId="3" borderId="39" xfId="2" applyNumberFormat="1" applyFont="1" applyFill="1" applyBorder="1" applyAlignment="1">
      <alignment horizontal="right" indent="1"/>
    </xf>
    <xf numFmtId="0" fontId="22" fillId="3" borderId="27" xfId="0" applyFont="1" applyFill="1" applyBorder="1" applyAlignment="1">
      <alignment horizontal="right"/>
    </xf>
    <xf numFmtId="0" fontId="22" fillId="3" borderId="28" xfId="0" applyNumberFormat="1" applyFont="1" applyFill="1" applyBorder="1" applyAlignment="1">
      <alignment horizontal="left"/>
    </xf>
    <xf numFmtId="0" fontId="22" fillId="3" borderId="29" xfId="0" applyFont="1" applyFill="1" applyBorder="1" applyAlignment="1">
      <alignment horizontal="center" wrapText="1"/>
    </xf>
    <xf numFmtId="0" fontId="22" fillId="3" borderId="32" xfId="0" applyNumberFormat="1" applyFont="1" applyFill="1" applyBorder="1" applyAlignment="1">
      <alignment horizontal="center"/>
    </xf>
    <xf numFmtId="171" fontId="22" fillId="3" borderId="29" xfId="2" applyNumberFormat="1" applyFont="1" applyFill="1" applyBorder="1" applyAlignment="1">
      <alignment horizontal="right" indent="1"/>
    </xf>
    <xf numFmtId="171" fontId="22" fillId="3" borderId="31" xfId="2" applyNumberFormat="1" applyFont="1" applyFill="1" applyBorder="1" applyAlignment="1">
      <alignment horizontal="right" indent="1"/>
    </xf>
    <xf numFmtId="171" fontId="22" fillId="3" borderId="32" xfId="2" applyNumberFormat="1" applyFont="1" applyFill="1" applyBorder="1" applyAlignment="1">
      <alignment horizontal="right" indent="1"/>
    </xf>
    <xf numFmtId="0" fontId="22" fillId="3" borderId="39" xfId="0" applyFont="1" applyFill="1" applyBorder="1"/>
    <xf numFmtId="0" fontId="24" fillId="0" borderId="0" xfId="0" applyFont="1" applyFill="1" applyAlignment="1">
      <alignment horizontal="left" vertical="center" wrapText="1"/>
    </xf>
    <xf numFmtId="0" fontId="22" fillId="0" borderId="0" xfId="0" applyFont="1" applyFill="1" applyAlignment="1">
      <alignment horizontal="left" wrapText="1"/>
    </xf>
    <xf numFmtId="0" fontId="22" fillId="0" borderId="0" xfId="0" applyFont="1" applyFill="1" applyAlignment="1">
      <alignment wrapText="1"/>
    </xf>
    <xf numFmtId="0" fontId="22" fillId="3" borderId="22" xfId="0" applyFont="1" applyFill="1" applyBorder="1" applyAlignment="1">
      <alignment horizontal="center"/>
    </xf>
    <xf numFmtId="0" fontId="22" fillId="3" borderId="36" xfId="0" applyFont="1" applyFill="1" applyBorder="1" applyAlignment="1">
      <alignment horizontal="center"/>
    </xf>
    <xf numFmtId="0" fontId="35" fillId="0" borderId="0" xfId="0" applyFont="1" applyAlignment="1">
      <alignment horizontal="left" vertical="center" wrapText="1"/>
    </xf>
    <xf numFmtId="0" fontId="22" fillId="0" borderId="1" xfId="0" applyFont="1" applyFill="1" applyBorder="1" applyAlignment="1">
      <alignment horizontal="center"/>
    </xf>
    <xf numFmtId="0" fontId="22" fillId="0" borderId="3" xfId="0" applyFont="1" applyFill="1" applyBorder="1" applyAlignment="1">
      <alignment horizontal="center"/>
    </xf>
    <xf numFmtId="0" fontId="6" fillId="0" borderId="0" xfId="0" applyFont="1" applyAlignment="1">
      <alignment horizontal="left" wrapText="1"/>
    </xf>
    <xf numFmtId="0" fontId="8" fillId="0" borderId="0" xfId="0" quotePrefix="1" applyFont="1" applyFill="1" applyAlignment="1">
      <alignment horizontal="center"/>
    </xf>
    <xf numFmtId="0" fontId="8" fillId="0" borderId="0" xfId="0" applyFont="1" applyFill="1" applyAlignment="1">
      <alignment horizontal="center"/>
    </xf>
  </cellXfs>
  <cellStyles count="8">
    <cellStyle name="Currency" xfId="1" builtinId="4"/>
    <cellStyle name="No fill" xfId="6"/>
    <cellStyle name="Normal" xfId="0" builtinId="0" customBuiltin="1"/>
    <cellStyle name="Percent" xfId="2" builtinId="5"/>
    <cellStyle name="TK blue input" xfId="5"/>
    <cellStyle name="TK hdg 1" xfId="3"/>
    <cellStyle name="TK title" xfId="4"/>
    <cellStyle name="Yellow fill" xfId="7"/>
  </cellStyles>
  <dxfs count="0"/>
  <tableStyles count="0" defaultTableStyle="TableStyleMedium9" defaultPivotStyle="PivotStyleLight16"/>
  <colors>
    <mruColors>
      <color rgb="FF800000"/>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9300040513299"/>
          <c:y val="0.17073170731707321"/>
          <c:w val="0.65577817891994739"/>
          <c:h val="0.72682926829268391"/>
        </c:manualLayout>
      </c:layout>
      <c:lineChart>
        <c:grouping val="standard"/>
        <c:varyColors val="0"/>
        <c:ser>
          <c:idx val="0"/>
          <c:order val="0"/>
          <c:tx>
            <c:strRef>
              <c:f>Chapter!$C$134</c:f>
              <c:strCache>
                <c:ptCount val="1"/>
                <c:pt idx="0">
                  <c:v>MicroDrive</c:v>
                </c:pt>
              </c:strCache>
            </c:strRef>
          </c:tx>
          <c:spPr>
            <a:ln w="25400">
              <a:solidFill>
                <a:srgbClr val="0000FF"/>
              </a:solidFill>
              <a:prstDash val="solid"/>
            </a:ln>
          </c:spPr>
          <c:marker>
            <c:symbol val="circle"/>
            <c:size val="7"/>
            <c:spPr>
              <a:solidFill>
                <a:srgbClr val="0000FF"/>
              </a:solidFill>
              <a:ln>
                <a:solidFill>
                  <a:srgbClr val="0000FF"/>
                </a:solidFill>
                <a:prstDash val="solid"/>
              </a:ln>
            </c:spPr>
          </c:marker>
          <c:dLbls>
            <c:dLbl>
              <c:idx val="4"/>
              <c:spPr>
                <a:noFill/>
                <a:ln w="25400">
                  <a:noFill/>
                </a:ln>
              </c:spPr>
              <c:txPr>
                <a:bodyPr/>
                <a:lstStyle/>
                <a:p>
                  <a:pPr>
                    <a:defRPr sz="1200" b="1" i="0" u="none" strike="noStrike" baseline="0">
                      <a:solidFill>
                        <a:srgbClr val="0000FF"/>
                      </a:solidFill>
                      <a:latin typeface="Arial"/>
                      <a:ea typeface="Arial"/>
                      <a:cs typeface="Arial"/>
                    </a:defRPr>
                  </a:pPr>
                  <a:endParaRPr lang="en-US"/>
                </a:p>
              </c:txP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Chapter!$B$135:$B$139</c:f>
              <c:numCache>
                <c:formatCode>General</c:formatCode>
                <c:ptCount val="5"/>
                <c:pt idx="0">
                  <c:v>2009</c:v>
                </c:pt>
                <c:pt idx="1">
                  <c:v>2010</c:v>
                </c:pt>
                <c:pt idx="2">
                  <c:v>2011</c:v>
                </c:pt>
                <c:pt idx="3">
                  <c:v>2012</c:v>
                </c:pt>
                <c:pt idx="4">
                  <c:v>2013</c:v>
                </c:pt>
              </c:numCache>
            </c:numRef>
          </c:cat>
          <c:val>
            <c:numRef>
              <c:f>Chapter!$C$135:$C$139</c:f>
              <c:numCache>
                <c:formatCode>0.0%</c:formatCode>
                <c:ptCount val="5"/>
                <c:pt idx="0">
                  <c:v>0.15</c:v>
                </c:pt>
                <c:pt idx="1">
                  <c:v>0.18</c:v>
                </c:pt>
                <c:pt idx="2">
                  <c:v>0.21</c:v>
                </c:pt>
                <c:pt idx="3">
                  <c:v>0.20153846153846153</c:v>
                </c:pt>
                <c:pt idx="4">
                  <c:v>0.14965986394557823</c:v>
                </c:pt>
              </c:numCache>
            </c:numRef>
          </c:val>
          <c:smooth val="0"/>
        </c:ser>
        <c:ser>
          <c:idx val="1"/>
          <c:order val="1"/>
          <c:tx>
            <c:strRef>
              <c:f>Chapter!$D$134</c:f>
              <c:strCache>
                <c:ptCount val="1"/>
                <c:pt idx="0">
                  <c:v>Industry</c:v>
                </c:pt>
              </c:strCache>
            </c:strRef>
          </c:tx>
          <c:spPr>
            <a:ln w="25400">
              <a:solidFill>
                <a:srgbClr val="993300"/>
              </a:solidFill>
              <a:prstDash val="solid"/>
            </a:ln>
          </c:spPr>
          <c:marker>
            <c:symbol val="circle"/>
            <c:size val="7"/>
            <c:spPr>
              <a:solidFill>
                <a:srgbClr val="993300"/>
              </a:solidFill>
              <a:ln>
                <a:solidFill>
                  <a:srgbClr val="993300"/>
                </a:solidFill>
                <a:prstDash val="solid"/>
              </a:ln>
            </c:spPr>
          </c:marker>
          <c:dLbls>
            <c:dLbl>
              <c:idx val="4"/>
              <c:spPr>
                <a:noFill/>
                <a:ln w="25400">
                  <a:noFill/>
                </a:ln>
              </c:spPr>
              <c:txPr>
                <a:bodyPr/>
                <a:lstStyle/>
                <a:p>
                  <a:pPr>
                    <a:defRPr sz="1200" b="1" i="0" u="none" strike="noStrike" baseline="0">
                      <a:solidFill>
                        <a:srgbClr val="993300"/>
                      </a:solidFill>
                      <a:latin typeface="Arial"/>
                      <a:ea typeface="Arial"/>
                      <a:cs typeface="Arial"/>
                    </a:defRPr>
                  </a:pPr>
                  <a:endParaRPr lang="en-US"/>
                </a:p>
              </c:txP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Chapter!$B$135:$B$139</c:f>
              <c:numCache>
                <c:formatCode>General</c:formatCode>
                <c:ptCount val="5"/>
                <c:pt idx="0">
                  <c:v>2009</c:v>
                </c:pt>
                <c:pt idx="1">
                  <c:v>2010</c:v>
                </c:pt>
                <c:pt idx="2">
                  <c:v>2011</c:v>
                </c:pt>
                <c:pt idx="3">
                  <c:v>2012</c:v>
                </c:pt>
                <c:pt idx="4">
                  <c:v>2013</c:v>
                </c:pt>
              </c:numCache>
            </c:numRef>
          </c:cat>
          <c:val>
            <c:numRef>
              <c:f>Chapter!$D$135:$D$139</c:f>
              <c:numCache>
                <c:formatCode>0.0%</c:formatCode>
                <c:ptCount val="5"/>
                <c:pt idx="0">
                  <c:v>0.14000000000000001</c:v>
                </c:pt>
                <c:pt idx="1">
                  <c:v>0.15</c:v>
                </c:pt>
                <c:pt idx="2">
                  <c:v>0.18</c:v>
                </c:pt>
                <c:pt idx="3">
                  <c:v>0.17</c:v>
                </c:pt>
                <c:pt idx="4">
                  <c:v>0.19</c:v>
                </c:pt>
              </c:numCache>
            </c:numRef>
          </c:val>
          <c:smooth val="0"/>
        </c:ser>
        <c:dLbls>
          <c:showLegendKey val="0"/>
          <c:showVal val="0"/>
          <c:showCatName val="0"/>
          <c:showSerName val="0"/>
          <c:showPercent val="0"/>
          <c:showBubbleSize val="0"/>
        </c:dLbls>
        <c:marker val="1"/>
        <c:smooth val="0"/>
        <c:axId val="290189872"/>
        <c:axId val="290190264"/>
      </c:lineChart>
      <c:catAx>
        <c:axId val="29018987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290190264"/>
        <c:crosses val="autoZero"/>
        <c:auto val="1"/>
        <c:lblAlgn val="ctr"/>
        <c:lblOffset val="100"/>
        <c:tickLblSkip val="1"/>
        <c:tickMarkSkip val="1"/>
        <c:noMultiLvlLbl val="0"/>
      </c:catAx>
      <c:valAx>
        <c:axId val="290190264"/>
        <c:scaling>
          <c:orientation val="minMax"/>
          <c:max val="0.22000000000000003"/>
          <c:min val="0"/>
        </c:scaling>
        <c:delete val="0"/>
        <c:axPos val="l"/>
        <c:title>
          <c:tx>
            <c:rich>
              <a:bodyPr rot="0" vert="horz"/>
              <a:lstStyle/>
              <a:p>
                <a:pPr algn="ctr">
                  <a:defRPr sz="800" b="1" i="0" u="none" strike="noStrike" baseline="0">
                    <a:solidFill>
                      <a:srgbClr val="000000"/>
                    </a:solidFill>
                    <a:latin typeface="Arial"/>
                    <a:ea typeface="Arial"/>
                    <a:cs typeface="Arial"/>
                  </a:defRPr>
                </a:pPr>
                <a:r>
                  <a:rPr lang="en-US"/>
                  <a:t>ROE
 (%)</a:t>
                </a:r>
              </a:p>
            </c:rich>
          </c:tx>
          <c:layout>
            <c:manualLayout>
              <c:xMode val="edge"/>
              <c:yMode val="edge"/>
              <c:x val="0.12137702632654397"/>
              <c:y val="3.9024390243902439E-2"/>
            </c:manualLayout>
          </c:layout>
          <c:overlay val="0"/>
          <c:spPr>
            <a:noFill/>
            <a:ln w="25400">
              <a:noFill/>
            </a:ln>
          </c:spPr>
        </c:title>
        <c:numFmt formatCode="0.0%" sourceLinked="1"/>
        <c:majorTickMark val="out"/>
        <c:minorTickMark val="none"/>
        <c:tickLblPos val="nextTo"/>
        <c:spPr>
          <a:ln w="12700">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290189872"/>
        <c:crosses val="autoZero"/>
        <c:crossBetween val="midCat"/>
        <c:majorUnit val="2.0000000000000011E-2"/>
      </c:valAx>
      <c:spPr>
        <a:solidFill>
          <a:srgbClr val="FFFFCC"/>
        </a:solidFill>
        <a:ln w="25400">
          <a:noFill/>
        </a:ln>
      </c:spPr>
    </c:plotArea>
    <c:plotVisOnly val="1"/>
    <c:dispBlanksAs val="gap"/>
    <c:showDLblsOverMax val="0"/>
  </c:chart>
  <c:spPr>
    <a:solidFill>
      <a:srgbClr val="FFFFCC"/>
    </a:solidFill>
    <a:ln w="12700">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276225</xdr:colOff>
      <xdr:row>97</xdr:row>
      <xdr:rowOff>38100</xdr:rowOff>
    </xdr:from>
    <xdr:to>
      <xdr:col>6</xdr:col>
      <xdr:colOff>276225</xdr:colOff>
      <xdr:row>97</xdr:row>
      <xdr:rowOff>38100</xdr:rowOff>
    </xdr:to>
    <xdr:sp macro="" textlink="">
      <xdr:nvSpPr>
        <xdr:cNvPr id="1041" name="Line 17"/>
        <xdr:cNvSpPr>
          <a:spLocks noChangeShapeType="1"/>
        </xdr:cNvSpPr>
      </xdr:nvSpPr>
      <xdr:spPr bwMode="auto">
        <a:xfrm>
          <a:off x="5314950" y="14773275"/>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0</xdr:col>
      <xdr:colOff>0</xdr:colOff>
      <xdr:row>142</xdr:row>
      <xdr:rowOff>127356</xdr:rowOff>
    </xdr:from>
    <xdr:to>
      <xdr:col>5</xdr:col>
      <xdr:colOff>219075</xdr:colOff>
      <xdr:row>167</xdr:row>
      <xdr:rowOff>24312</xdr:rowOff>
    </xdr:to>
    <xdr:graphicFrame macro="">
      <xdr:nvGraphicFramePr>
        <xdr:cNvPr id="1068"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4"/>
  <sheetViews>
    <sheetView zoomScale="130" zoomScaleNormal="130" zoomScaleSheetLayoutView="100" workbookViewId="0"/>
  </sheetViews>
  <sheetFormatPr defaultColWidth="14.5" defaultRowHeight="10.5" x14ac:dyDescent="0.15"/>
  <cols>
    <col min="1" max="1" width="19.83203125" style="84" customWidth="1"/>
    <col min="2" max="2" width="16.83203125" style="88" customWidth="1"/>
    <col min="3" max="3" width="17.6640625" style="84" customWidth="1"/>
    <col min="4" max="4" width="12.83203125" style="84" customWidth="1"/>
    <col min="5" max="5" width="13.5" style="84" customWidth="1"/>
    <col min="6" max="6" width="11.6640625" style="84" customWidth="1"/>
    <col min="7" max="10" width="8.5" style="84" customWidth="1"/>
    <col min="11" max="11" width="13.33203125" style="84" customWidth="1"/>
    <col min="12" max="12" width="8.5" style="84" customWidth="1"/>
    <col min="13" max="16384" width="14.5" style="84"/>
  </cols>
  <sheetData>
    <row r="1" spans="1:8" ht="12.75" x14ac:dyDescent="0.15">
      <c r="A1" s="265" t="s">
        <v>174</v>
      </c>
      <c r="C1" s="264" t="s">
        <v>184</v>
      </c>
      <c r="D1" s="83"/>
      <c r="F1" s="85">
        <v>41251</v>
      </c>
    </row>
    <row r="2" spans="1:8" x14ac:dyDescent="0.15">
      <c r="B2" s="86"/>
    </row>
    <row r="3" spans="1:8" ht="12.75" x14ac:dyDescent="0.15">
      <c r="C3" s="263" t="s">
        <v>175</v>
      </c>
      <c r="D3" s="87"/>
      <c r="E3" s="87"/>
      <c r="F3" s="87"/>
    </row>
    <row r="4" spans="1:8" x14ac:dyDescent="0.15">
      <c r="E4" s="89"/>
      <c r="G4" s="90"/>
    </row>
    <row r="5" spans="1:8" ht="12.75" customHeight="1" x14ac:dyDescent="0.15">
      <c r="A5" s="356" t="s">
        <v>49</v>
      </c>
      <c r="B5" s="356"/>
      <c r="C5" s="356"/>
      <c r="D5" s="356"/>
      <c r="E5" s="356"/>
      <c r="F5" s="356"/>
    </row>
    <row r="6" spans="1:8" x14ac:dyDescent="0.15">
      <c r="A6" s="356"/>
      <c r="B6" s="356"/>
      <c r="C6" s="356"/>
      <c r="D6" s="356"/>
      <c r="E6" s="356"/>
      <c r="F6" s="356"/>
    </row>
    <row r="7" spans="1:8" x14ac:dyDescent="0.15">
      <c r="A7" s="356"/>
      <c r="B7" s="356"/>
      <c r="C7" s="356"/>
      <c r="D7" s="356"/>
      <c r="E7" s="356"/>
      <c r="F7" s="356"/>
    </row>
    <row r="8" spans="1:8" x14ac:dyDescent="0.15">
      <c r="A8" s="91"/>
      <c r="B8" s="91"/>
      <c r="C8" s="91"/>
      <c r="D8" s="91"/>
      <c r="E8" s="91"/>
      <c r="F8" s="91"/>
    </row>
    <row r="9" spans="1:8" ht="12.75" x14ac:dyDescent="0.15">
      <c r="A9" s="266" t="s">
        <v>176</v>
      </c>
      <c r="D9" s="93"/>
      <c r="G9" s="94"/>
    </row>
    <row r="10" spans="1:8" x14ac:dyDescent="0.15">
      <c r="D10" s="93"/>
      <c r="H10" s="95"/>
    </row>
    <row r="11" spans="1:8" s="98" customFormat="1" x14ac:dyDescent="0.15">
      <c r="A11" s="96" t="s">
        <v>41</v>
      </c>
      <c r="B11" s="97"/>
      <c r="G11" s="84"/>
    </row>
    <row r="12" spans="1:8" ht="11.25" thickBot="1" x14ac:dyDescent="0.2">
      <c r="B12" s="99"/>
      <c r="C12" s="100"/>
      <c r="D12" s="101">
        <v>2013</v>
      </c>
      <c r="E12" s="101">
        <f>D12-1</f>
        <v>2012</v>
      </c>
    </row>
    <row r="13" spans="1:8" x14ac:dyDescent="0.15">
      <c r="A13" s="84" t="s">
        <v>33</v>
      </c>
      <c r="D13" s="102">
        <v>27</v>
      </c>
      <c r="E13" s="102">
        <v>40</v>
      </c>
      <c r="G13" s="103"/>
      <c r="H13" s="103"/>
    </row>
    <row r="14" spans="1:8" x14ac:dyDescent="0.15">
      <c r="A14" s="84" t="s">
        <v>34</v>
      </c>
      <c r="D14" s="95">
        <v>50</v>
      </c>
      <c r="E14" s="95">
        <v>50</v>
      </c>
      <c r="G14" s="104"/>
      <c r="H14" s="104"/>
    </row>
    <row r="15" spans="1:8" x14ac:dyDescent="0.15">
      <c r="A15" s="84" t="s">
        <v>21</v>
      </c>
      <c r="D15" s="105">
        <v>0.4</v>
      </c>
      <c r="E15" s="105">
        <v>0.4</v>
      </c>
      <c r="G15" s="106"/>
      <c r="H15" s="106"/>
    </row>
    <row r="16" spans="1:8" x14ac:dyDescent="0.15">
      <c r="A16" s="84" t="s">
        <v>32</v>
      </c>
      <c r="D16" s="107">
        <v>0.11</v>
      </c>
      <c r="E16" s="107">
        <v>0.105</v>
      </c>
      <c r="G16" s="108"/>
      <c r="H16" s="108"/>
    </row>
    <row r="17" spans="1:13" x14ac:dyDescent="0.15">
      <c r="A17" s="84" t="s">
        <v>38</v>
      </c>
      <c r="D17" s="109">
        <v>28</v>
      </c>
      <c r="E17" s="109">
        <v>28</v>
      </c>
    </row>
    <row r="18" spans="1:13" x14ac:dyDescent="0.15">
      <c r="A18" s="84" t="s">
        <v>40</v>
      </c>
      <c r="D18" s="109">
        <v>20</v>
      </c>
      <c r="E18" s="109">
        <v>20</v>
      </c>
    </row>
    <row r="19" spans="1:13" x14ac:dyDescent="0.15">
      <c r="D19" s="110"/>
      <c r="E19" s="110"/>
      <c r="G19" s="111"/>
      <c r="H19" s="111"/>
    </row>
    <row r="20" spans="1:13" x14ac:dyDescent="0.15">
      <c r="A20" s="267" t="s">
        <v>125</v>
      </c>
      <c r="B20" s="268"/>
      <c r="C20" s="269"/>
      <c r="D20" s="269"/>
      <c r="E20" s="270"/>
      <c r="F20" s="116"/>
      <c r="G20" s="117"/>
      <c r="H20" s="111"/>
    </row>
    <row r="21" spans="1:13" x14ac:dyDescent="0.15">
      <c r="A21" s="271" t="s">
        <v>111</v>
      </c>
      <c r="B21" s="119"/>
      <c r="C21" s="120"/>
      <c r="D21" s="120"/>
      <c r="E21" s="272"/>
      <c r="F21" s="116"/>
      <c r="G21" s="117"/>
      <c r="H21" s="111"/>
    </row>
    <row r="22" spans="1:13" ht="13.9" customHeight="1" x14ac:dyDescent="0.15">
      <c r="A22" s="307" t="s">
        <v>112</v>
      </c>
      <c r="B22" s="290"/>
      <c r="C22" s="291"/>
      <c r="D22" s="291"/>
      <c r="E22" s="292"/>
      <c r="F22" s="121"/>
      <c r="G22" s="122"/>
      <c r="H22" s="111"/>
    </row>
    <row r="23" spans="1:13" ht="12" x14ac:dyDescent="0.2">
      <c r="A23" s="302" t="s">
        <v>159</v>
      </c>
      <c r="B23" s="303"/>
      <c r="C23" s="304"/>
      <c r="D23" s="298">
        <f>$D$12</f>
        <v>2013</v>
      </c>
      <c r="E23" s="299">
        <f>$E$12</f>
        <v>2012</v>
      </c>
      <c r="F23" s="121"/>
      <c r="G23" s="122"/>
      <c r="H23" s="111"/>
    </row>
    <row r="24" spans="1:13" x14ac:dyDescent="0.15">
      <c r="A24" s="295" t="s">
        <v>7</v>
      </c>
      <c r="B24" s="124"/>
      <c r="C24" s="125"/>
      <c r="D24" s="125"/>
      <c r="E24" s="273"/>
      <c r="F24" s="127"/>
      <c r="G24" s="128"/>
      <c r="H24" s="129"/>
      <c r="I24" s="117"/>
      <c r="J24" s="117"/>
      <c r="K24" s="122"/>
      <c r="L24" s="130"/>
      <c r="M24" s="130"/>
    </row>
    <row r="25" spans="1:13" x14ac:dyDescent="0.15">
      <c r="A25" s="274" t="s">
        <v>45</v>
      </c>
      <c r="B25" s="124"/>
      <c r="C25" s="125"/>
      <c r="D25" s="132">
        <v>50</v>
      </c>
      <c r="E25" s="275">
        <v>60</v>
      </c>
      <c r="F25" s="127"/>
      <c r="G25" s="117"/>
      <c r="H25" s="129"/>
      <c r="I25" s="117"/>
      <c r="J25" s="117"/>
      <c r="K25" s="122"/>
      <c r="L25" s="133"/>
      <c r="M25" s="133"/>
    </row>
    <row r="26" spans="1:13" x14ac:dyDescent="0.15">
      <c r="A26" s="274" t="s">
        <v>46</v>
      </c>
      <c r="B26" s="124"/>
      <c r="C26" s="125"/>
      <c r="D26" s="134">
        <v>0</v>
      </c>
      <c r="E26" s="276">
        <v>40</v>
      </c>
      <c r="F26" s="127"/>
      <c r="G26" s="117"/>
      <c r="H26" s="129"/>
      <c r="I26" s="117"/>
      <c r="J26" s="117"/>
      <c r="K26" s="122"/>
      <c r="L26" s="135"/>
      <c r="M26" s="135"/>
    </row>
    <row r="27" spans="1:13" x14ac:dyDescent="0.15">
      <c r="A27" s="274" t="s">
        <v>8</v>
      </c>
      <c r="B27" s="124"/>
      <c r="C27" s="125"/>
      <c r="D27" s="134">
        <v>500</v>
      </c>
      <c r="E27" s="276">
        <v>380</v>
      </c>
      <c r="F27" s="127"/>
      <c r="G27" s="117"/>
      <c r="H27" s="129"/>
      <c r="I27" s="117"/>
      <c r="J27" s="117"/>
      <c r="K27" s="122"/>
      <c r="L27" s="135"/>
      <c r="M27" s="135"/>
    </row>
    <row r="28" spans="1:13" x14ac:dyDescent="0.15">
      <c r="A28" s="274" t="s">
        <v>9</v>
      </c>
      <c r="B28" s="124"/>
      <c r="C28" s="125"/>
      <c r="D28" s="136">
        <v>1000</v>
      </c>
      <c r="E28" s="277">
        <v>820</v>
      </c>
      <c r="F28" s="127"/>
      <c r="G28" s="117"/>
      <c r="H28" s="129"/>
      <c r="I28" s="117"/>
      <c r="J28" s="117"/>
      <c r="K28" s="122"/>
      <c r="L28" s="135"/>
      <c r="M28" s="135"/>
    </row>
    <row r="29" spans="1:13" x14ac:dyDescent="0.15">
      <c r="A29" s="278" t="s">
        <v>104</v>
      </c>
      <c r="B29" s="124"/>
      <c r="C29" s="125"/>
      <c r="D29" s="132">
        <f>SUM(D25:D28)</f>
        <v>1550</v>
      </c>
      <c r="E29" s="275">
        <f>SUM(E25:E28)</f>
        <v>1300</v>
      </c>
      <c r="F29" s="127"/>
      <c r="G29" s="138"/>
      <c r="H29" s="129"/>
      <c r="I29" s="117"/>
      <c r="J29" s="117"/>
      <c r="K29" s="122"/>
      <c r="L29" s="133"/>
      <c r="M29" s="133"/>
    </row>
    <row r="30" spans="1:13" x14ac:dyDescent="0.15">
      <c r="A30" s="274" t="s">
        <v>10</v>
      </c>
      <c r="B30" s="124"/>
      <c r="C30" s="125"/>
      <c r="D30" s="136">
        <v>2000</v>
      </c>
      <c r="E30" s="277">
        <v>1700</v>
      </c>
      <c r="F30" s="127"/>
      <c r="G30" s="117"/>
      <c r="H30" s="129"/>
      <c r="I30" s="117"/>
      <c r="J30" s="117"/>
      <c r="K30" s="122"/>
      <c r="L30" s="135"/>
      <c r="M30" s="135"/>
    </row>
    <row r="31" spans="1:13" ht="11.25" thickBot="1" x14ac:dyDescent="0.2">
      <c r="A31" s="279" t="s">
        <v>11</v>
      </c>
      <c r="B31" s="124"/>
      <c r="C31" s="125"/>
      <c r="D31" s="140">
        <f>SUM(D29:D30)</f>
        <v>3550</v>
      </c>
      <c r="E31" s="280">
        <f>SUM(E29:E30)</f>
        <v>3000</v>
      </c>
      <c r="F31" s="127"/>
      <c r="G31" s="141"/>
      <c r="H31" s="129"/>
      <c r="I31" s="117"/>
      <c r="J31" s="117"/>
      <c r="K31" s="122"/>
      <c r="L31" s="133"/>
      <c r="M31" s="133"/>
    </row>
    <row r="32" spans="1:13" ht="11.25" thickTop="1" x14ac:dyDescent="0.15">
      <c r="A32" s="274"/>
      <c r="B32" s="124"/>
      <c r="C32" s="125"/>
      <c r="D32" s="132"/>
      <c r="E32" s="275"/>
      <c r="F32" s="127"/>
      <c r="G32" s="117"/>
      <c r="H32" s="129"/>
      <c r="I32" s="117"/>
      <c r="J32" s="117"/>
      <c r="K32" s="122"/>
      <c r="L32" s="133"/>
      <c r="M32" s="133"/>
    </row>
    <row r="33" spans="1:13" x14ac:dyDescent="0.15">
      <c r="A33" s="295" t="s">
        <v>183</v>
      </c>
      <c r="B33" s="124"/>
      <c r="C33" s="125"/>
      <c r="D33" s="132"/>
      <c r="E33" s="275"/>
      <c r="F33" s="127"/>
      <c r="G33" s="128"/>
      <c r="H33" s="129"/>
      <c r="I33" s="117"/>
      <c r="J33" s="117"/>
      <c r="K33" s="122"/>
      <c r="L33" s="133"/>
      <c r="M33" s="133"/>
    </row>
    <row r="34" spans="1:13" x14ac:dyDescent="0.15">
      <c r="A34" s="274" t="s">
        <v>12</v>
      </c>
      <c r="B34" s="124"/>
      <c r="C34" s="125"/>
      <c r="D34" s="132">
        <v>200</v>
      </c>
      <c r="E34" s="275">
        <v>190</v>
      </c>
      <c r="F34" s="127"/>
      <c r="G34" s="117"/>
      <c r="H34" s="129"/>
      <c r="I34" s="142"/>
      <c r="J34" s="117"/>
      <c r="K34" s="122"/>
      <c r="L34" s="133"/>
      <c r="M34" s="133"/>
    </row>
    <row r="35" spans="1:13" x14ac:dyDescent="0.15">
      <c r="A35" s="274" t="s">
        <v>13</v>
      </c>
      <c r="B35" s="124"/>
      <c r="C35" s="125"/>
      <c r="D35" s="134">
        <v>280</v>
      </c>
      <c r="E35" s="276">
        <v>130</v>
      </c>
      <c r="F35" s="127"/>
      <c r="G35" s="117"/>
      <c r="H35" s="129"/>
      <c r="I35" s="117"/>
      <c r="J35" s="117"/>
      <c r="K35" s="122"/>
      <c r="L35" s="135"/>
      <c r="M35" s="135"/>
    </row>
    <row r="36" spans="1:13" x14ac:dyDescent="0.15">
      <c r="A36" s="274" t="s">
        <v>14</v>
      </c>
      <c r="B36" s="124"/>
      <c r="C36" s="125"/>
      <c r="D36" s="136">
        <v>300</v>
      </c>
      <c r="E36" s="277">
        <v>280</v>
      </c>
      <c r="F36" s="127"/>
      <c r="G36" s="117"/>
      <c r="H36" s="129"/>
      <c r="I36" s="117"/>
      <c r="J36" s="117"/>
      <c r="K36" s="122"/>
      <c r="L36" s="135"/>
      <c r="M36" s="135"/>
    </row>
    <row r="37" spans="1:13" x14ac:dyDescent="0.15">
      <c r="A37" s="278" t="s">
        <v>105</v>
      </c>
      <c r="B37" s="124"/>
      <c r="C37" s="125"/>
      <c r="D37" s="132">
        <f>SUM(D34:D36)</f>
        <v>780</v>
      </c>
      <c r="E37" s="275">
        <f>SUM(E34:E36)</f>
        <v>600</v>
      </c>
      <c r="F37" s="127"/>
      <c r="G37" s="138"/>
      <c r="H37" s="129"/>
      <c r="I37" s="117"/>
      <c r="J37" s="117"/>
      <c r="K37" s="122"/>
      <c r="L37" s="133"/>
      <c r="M37" s="133"/>
    </row>
    <row r="38" spans="1:13" x14ac:dyDescent="0.15">
      <c r="A38" s="274" t="s">
        <v>15</v>
      </c>
      <c r="B38" s="124"/>
      <c r="C38" s="125"/>
      <c r="D38" s="136">
        <v>1200</v>
      </c>
      <c r="E38" s="277">
        <v>1000</v>
      </c>
      <c r="F38" s="127"/>
      <c r="G38" s="117"/>
      <c r="H38" s="129"/>
      <c r="I38" s="117"/>
      <c r="J38" s="117"/>
      <c r="K38" s="122"/>
      <c r="L38" s="135"/>
      <c r="M38" s="135"/>
    </row>
    <row r="39" spans="1:13" x14ac:dyDescent="0.15">
      <c r="A39" s="278" t="s">
        <v>106</v>
      </c>
      <c r="B39" s="124"/>
      <c r="C39" s="125"/>
      <c r="D39" s="132">
        <f>SUM(D37:D38)</f>
        <v>1980</v>
      </c>
      <c r="E39" s="275">
        <f>SUM(E37:E38)</f>
        <v>1600</v>
      </c>
      <c r="F39" s="127"/>
      <c r="G39" s="138"/>
      <c r="H39" s="129"/>
      <c r="I39" s="117"/>
      <c r="J39" s="117"/>
      <c r="K39" s="122"/>
      <c r="L39" s="133"/>
      <c r="M39" s="133"/>
    </row>
    <row r="40" spans="1:13" x14ac:dyDescent="0.15">
      <c r="A40" s="274" t="s">
        <v>16</v>
      </c>
      <c r="B40" s="124"/>
      <c r="C40" s="125"/>
      <c r="D40" s="134">
        <v>100</v>
      </c>
      <c r="E40" s="276">
        <v>100</v>
      </c>
      <c r="F40" s="127"/>
      <c r="G40" s="117"/>
      <c r="H40" s="129"/>
      <c r="I40" s="117"/>
      <c r="J40" s="117"/>
      <c r="K40" s="122"/>
      <c r="L40" s="135"/>
      <c r="M40" s="135"/>
    </row>
    <row r="41" spans="1:13" x14ac:dyDescent="0.15">
      <c r="A41" s="274" t="s">
        <v>17</v>
      </c>
      <c r="B41" s="124"/>
      <c r="C41" s="125"/>
      <c r="D41" s="134">
        <v>500</v>
      </c>
      <c r="E41" s="276">
        <v>500</v>
      </c>
      <c r="F41" s="127"/>
      <c r="G41" s="117"/>
      <c r="H41" s="129"/>
      <c r="I41" s="117"/>
      <c r="J41" s="117"/>
      <c r="K41" s="122"/>
      <c r="L41" s="135"/>
      <c r="M41" s="135"/>
    </row>
    <row r="42" spans="1:13" x14ac:dyDescent="0.15">
      <c r="A42" s="274" t="s">
        <v>18</v>
      </c>
      <c r="B42" s="124"/>
      <c r="C42" s="125"/>
      <c r="D42" s="136">
        <f>E42+D60</f>
        <v>970</v>
      </c>
      <c r="E42" s="277">
        <v>800</v>
      </c>
      <c r="F42" s="127"/>
      <c r="G42" s="117"/>
      <c r="H42" s="129"/>
      <c r="I42" s="117"/>
      <c r="J42" s="117"/>
      <c r="K42" s="122"/>
      <c r="L42" s="135"/>
      <c r="M42" s="135"/>
    </row>
    <row r="43" spans="1:13" x14ac:dyDescent="0.15">
      <c r="A43" s="278" t="s">
        <v>19</v>
      </c>
      <c r="B43" s="124"/>
      <c r="C43" s="125"/>
      <c r="D43" s="132">
        <f>SUM(D41:D42)</f>
        <v>1470</v>
      </c>
      <c r="E43" s="275">
        <f>SUM(E41:E42)</f>
        <v>1300</v>
      </c>
      <c r="F43" s="127"/>
      <c r="G43" s="138"/>
      <c r="H43" s="129"/>
      <c r="I43" s="117"/>
      <c r="J43" s="117"/>
      <c r="K43" s="122"/>
      <c r="L43" s="133"/>
      <c r="M43" s="133"/>
    </row>
    <row r="44" spans="1:13" ht="11.25" thickBot="1" x14ac:dyDescent="0.2">
      <c r="A44" s="274" t="s">
        <v>20</v>
      </c>
      <c r="B44" s="124"/>
      <c r="C44" s="125"/>
      <c r="D44" s="140">
        <f>SUM(D39,D40,D43)</f>
        <v>3550</v>
      </c>
      <c r="E44" s="280">
        <f>SUM(E39,E40,E43)</f>
        <v>3000</v>
      </c>
      <c r="F44" s="127"/>
      <c r="G44" s="117"/>
      <c r="H44" s="129"/>
      <c r="I44" s="117"/>
      <c r="J44" s="117"/>
      <c r="K44" s="122"/>
      <c r="L44" s="133"/>
      <c r="M44" s="133"/>
    </row>
    <row r="45" spans="1:13" ht="11.25" thickTop="1" x14ac:dyDescent="0.15">
      <c r="A45" s="281"/>
      <c r="B45" s="125"/>
      <c r="C45" s="125"/>
      <c r="D45" s="144"/>
      <c r="E45" s="282"/>
      <c r="F45" s="127"/>
      <c r="G45" s="111"/>
      <c r="H45" s="111"/>
      <c r="I45" s="111"/>
      <c r="J45" s="111"/>
      <c r="K45" s="111"/>
      <c r="L45" s="111"/>
      <c r="M45" s="111"/>
    </row>
    <row r="46" spans="1:13" ht="12" x14ac:dyDescent="0.2">
      <c r="A46" s="305" t="s">
        <v>165</v>
      </c>
      <c r="B46" s="145"/>
      <c r="C46" s="125"/>
      <c r="D46" s="300">
        <f>$D$12</f>
        <v>2013</v>
      </c>
      <c r="E46" s="301">
        <f>$E$12</f>
        <v>2012</v>
      </c>
      <c r="F46" s="127"/>
      <c r="G46" s="111"/>
      <c r="H46" s="111"/>
      <c r="I46" s="111"/>
      <c r="J46" s="111"/>
      <c r="K46" s="111"/>
      <c r="L46" s="111"/>
      <c r="M46" s="111"/>
    </row>
    <row r="47" spans="1:13" x14ac:dyDescent="0.15">
      <c r="A47" s="274" t="s">
        <v>0</v>
      </c>
      <c r="B47" s="124"/>
      <c r="C47" s="125"/>
      <c r="D47" s="132">
        <v>5000</v>
      </c>
      <c r="E47" s="275">
        <v>4760</v>
      </c>
      <c r="F47" s="127"/>
      <c r="G47" s="117"/>
      <c r="H47" s="129"/>
      <c r="I47" s="117"/>
      <c r="J47" s="117"/>
      <c r="K47" s="117"/>
      <c r="L47" s="133"/>
      <c r="M47" s="133"/>
    </row>
    <row r="48" spans="1:13" x14ac:dyDescent="0.15">
      <c r="A48" s="274" t="s">
        <v>117</v>
      </c>
      <c r="B48" s="124"/>
      <c r="C48" s="125"/>
      <c r="D48" s="134">
        <v>3800</v>
      </c>
      <c r="E48" s="276">
        <v>3560</v>
      </c>
      <c r="F48" s="127"/>
      <c r="G48" s="117"/>
      <c r="H48" s="129"/>
      <c r="I48" s="117"/>
      <c r="J48" s="117"/>
      <c r="K48" s="117"/>
      <c r="L48" s="135"/>
      <c r="M48" s="135"/>
    </row>
    <row r="49" spans="1:13" x14ac:dyDescent="0.15">
      <c r="A49" s="274" t="s">
        <v>119</v>
      </c>
      <c r="B49" s="125"/>
      <c r="C49" s="125"/>
      <c r="D49" s="134">
        <v>200</v>
      </c>
      <c r="E49" s="276">
        <v>170</v>
      </c>
      <c r="F49" s="127"/>
      <c r="G49" s="146"/>
      <c r="H49" s="117"/>
      <c r="I49" s="117"/>
      <c r="J49" s="117"/>
      <c r="K49" s="117"/>
      <c r="L49" s="133"/>
      <c r="M49" s="133"/>
    </row>
    <row r="50" spans="1:13" x14ac:dyDescent="0.15">
      <c r="A50" s="274" t="s">
        <v>118</v>
      </c>
      <c r="B50" s="124"/>
      <c r="C50" s="125"/>
      <c r="D50" s="136">
        <v>500</v>
      </c>
      <c r="E50" s="277">
        <v>480</v>
      </c>
      <c r="F50" s="127"/>
      <c r="G50" s="117"/>
      <c r="H50" s="129"/>
      <c r="I50" s="117"/>
      <c r="J50" s="117"/>
      <c r="K50" s="117"/>
      <c r="L50" s="135"/>
      <c r="M50" s="135"/>
    </row>
    <row r="51" spans="1:13" x14ac:dyDescent="0.15">
      <c r="A51" s="278" t="s">
        <v>1</v>
      </c>
      <c r="B51" s="124"/>
      <c r="C51" s="125"/>
      <c r="D51" s="132">
        <f>D47-SUM(D48:D50)</f>
        <v>500</v>
      </c>
      <c r="E51" s="275">
        <f>E47-SUM(E48:E50)</f>
        <v>550</v>
      </c>
      <c r="F51" s="127"/>
      <c r="G51" s="138"/>
      <c r="H51" s="129"/>
      <c r="I51" s="117"/>
      <c r="J51" s="117"/>
      <c r="K51" s="117"/>
      <c r="L51" s="133"/>
      <c r="M51" s="133"/>
    </row>
    <row r="52" spans="1:13" x14ac:dyDescent="0.15">
      <c r="A52" s="274" t="s">
        <v>107</v>
      </c>
      <c r="B52" s="125"/>
      <c r="C52" s="125"/>
      <c r="D52" s="136">
        <v>120</v>
      </c>
      <c r="E52" s="277">
        <v>100</v>
      </c>
      <c r="F52" s="127"/>
      <c r="G52" s="117"/>
      <c r="H52" s="117"/>
      <c r="I52" s="117"/>
      <c r="J52" s="117"/>
      <c r="K52" s="117"/>
      <c r="L52" s="135"/>
      <c r="M52" s="135"/>
    </row>
    <row r="53" spans="1:13" x14ac:dyDescent="0.15">
      <c r="A53" s="278" t="s">
        <v>191</v>
      </c>
      <c r="B53" s="124"/>
      <c r="C53" s="125"/>
      <c r="D53" s="132">
        <f>D51-D52</f>
        <v>380</v>
      </c>
      <c r="E53" s="275">
        <f>E51-E52</f>
        <v>450</v>
      </c>
      <c r="F53" s="127"/>
      <c r="G53" s="138"/>
      <c r="H53" s="129"/>
      <c r="I53" s="117"/>
      <c r="J53" s="117"/>
      <c r="K53" s="117"/>
      <c r="L53" s="133"/>
      <c r="M53" s="133"/>
    </row>
    <row r="54" spans="1:13" x14ac:dyDescent="0.15">
      <c r="A54" s="274" t="s">
        <v>113</v>
      </c>
      <c r="B54" s="125"/>
      <c r="C54" s="125"/>
      <c r="D54" s="136">
        <f>D53*D15</f>
        <v>152</v>
      </c>
      <c r="E54" s="277">
        <f>E53*E15</f>
        <v>180</v>
      </c>
      <c r="F54" s="127"/>
      <c r="G54" s="117"/>
      <c r="H54" s="147"/>
      <c r="I54" s="117"/>
      <c r="J54" s="117"/>
      <c r="K54" s="117"/>
      <c r="L54" s="135"/>
      <c r="M54" s="135"/>
    </row>
    <row r="55" spans="1:13" x14ac:dyDescent="0.15">
      <c r="A55" s="278" t="s">
        <v>108</v>
      </c>
      <c r="B55" s="124"/>
      <c r="C55" s="125"/>
      <c r="D55" s="132">
        <f>D53-D54</f>
        <v>228</v>
      </c>
      <c r="E55" s="275">
        <f>E53-E54</f>
        <v>270</v>
      </c>
      <c r="F55" s="127"/>
      <c r="G55" s="138"/>
      <c r="H55" s="129"/>
      <c r="I55" s="117"/>
      <c r="J55" s="117"/>
      <c r="K55" s="117"/>
      <c r="L55" s="133"/>
      <c r="M55" s="133"/>
    </row>
    <row r="56" spans="1:13" ht="11.25" thickBot="1" x14ac:dyDescent="0.2">
      <c r="A56" s="274" t="s">
        <v>109</v>
      </c>
      <c r="B56" s="125"/>
      <c r="C56" s="125"/>
      <c r="D56" s="134">
        <v>8</v>
      </c>
      <c r="E56" s="276">
        <v>8</v>
      </c>
      <c r="F56" s="127"/>
      <c r="G56" s="117"/>
      <c r="H56" s="117"/>
      <c r="I56" s="117"/>
      <c r="J56" s="117"/>
      <c r="K56" s="117"/>
      <c r="L56" s="135"/>
      <c r="M56" s="135"/>
    </row>
    <row r="57" spans="1:13" ht="11.25" thickTop="1" x14ac:dyDescent="0.15">
      <c r="A57" s="274" t="s">
        <v>110</v>
      </c>
      <c r="B57" s="124"/>
      <c r="C57" s="125"/>
      <c r="D57" s="293">
        <f>D55-D56</f>
        <v>220</v>
      </c>
      <c r="E57" s="306">
        <f>E55-E56</f>
        <v>262</v>
      </c>
      <c r="F57" s="127"/>
      <c r="G57" s="117"/>
      <c r="H57" s="129"/>
      <c r="I57" s="117"/>
      <c r="J57" s="117"/>
      <c r="K57" s="117"/>
      <c r="L57" s="133"/>
      <c r="M57" s="133"/>
    </row>
    <row r="58" spans="1:13" ht="12" x14ac:dyDescent="0.2">
      <c r="A58" s="305" t="s">
        <v>190</v>
      </c>
      <c r="B58" s="145"/>
      <c r="C58" s="125"/>
      <c r="D58" s="125"/>
      <c r="E58" s="273"/>
      <c r="F58" s="127"/>
      <c r="G58" s="111"/>
      <c r="H58" s="111"/>
      <c r="I58" s="111"/>
      <c r="J58" s="111"/>
      <c r="K58" s="111"/>
      <c r="L58" s="111"/>
      <c r="M58" s="111"/>
    </row>
    <row r="59" spans="1:13" x14ac:dyDescent="0.15">
      <c r="A59" s="296" t="s">
        <v>2</v>
      </c>
      <c r="B59" s="124"/>
      <c r="C59" s="125"/>
      <c r="D59" s="148">
        <v>50</v>
      </c>
      <c r="E59" s="283">
        <v>48</v>
      </c>
      <c r="F59" s="127"/>
    </row>
    <row r="60" spans="1:13" x14ac:dyDescent="0.15">
      <c r="A60" s="297" t="s">
        <v>3</v>
      </c>
      <c r="B60" s="124"/>
      <c r="C60" s="125"/>
      <c r="D60" s="148">
        <f>D57-D59</f>
        <v>170</v>
      </c>
      <c r="E60" s="283">
        <f>E57-E59</f>
        <v>214</v>
      </c>
      <c r="F60" s="127"/>
    </row>
    <row r="61" spans="1:13" x14ac:dyDescent="0.15">
      <c r="A61" s="297" t="s">
        <v>38</v>
      </c>
      <c r="B61" s="124"/>
      <c r="C61" s="125"/>
      <c r="D61" s="148">
        <f>D17</f>
        <v>28</v>
      </c>
      <c r="E61" s="283">
        <f>E17</f>
        <v>28</v>
      </c>
      <c r="F61" s="127"/>
    </row>
    <row r="62" spans="1:13" x14ac:dyDescent="0.15">
      <c r="A62" s="297" t="s">
        <v>114</v>
      </c>
      <c r="B62" s="124"/>
      <c r="C62" s="125"/>
      <c r="D62" s="148">
        <f>D18</f>
        <v>20</v>
      </c>
      <c r="E62" s="283">
        <f>E18</f>
        <v>20</v>
      </c>
      <c r="F62" s="127"/>
    </row>
    <row r="63" spans="1:13" x14ac:dyDescent="0.15">
      <c r="A63" s="297" t="s">
        <v>115</v>
      </c>
      <c r="B63" s="124"/>
      <c r="C63" s="125"/>
      <c r="D63" s="148">
        <f>D13</f>
        <v>27</v>
      </c>
      <c r="E63" s="283">
        <f>E13</f>
        <v>40</v>
      </c>
      <c r="F63" s="127"/>
    </row>
    <row r="64" spans="1:13" x14ac:dyDescent="0.15">
      <c r="A64" s="284"/>
      <c r="B64" s="285"/>
      <c r="C64" s="286"/>
      <c r="D64" s="287"/>
      <c r="E64" s="288"/>
      <c r="F64" s="127"/>
    </row>
    <row r="65" spans="1:6" x14ac:dyDescent="0.15">
      <c r="A65" s="111"/>
      <c r="B65" s="149"/>
      <c r="C65" s="111"/>
      <c r="D65" s="150"/>
      <c r="E65" s="150"/>
      <c r="F65" s="111"/>
    </row>
    <row r="66" spans="1:6" x14ac:dyDescent="0.15">
      <c r="A66" s="151" t="s">
        <v>42</v>
      </c>
      <c r="D66" s="150"/>
      <c r="E66" s="150"/>
    </row>
    <row r="67" spans="1:6" ht="11.25" thickBot="1" x14ac:dyDescent="0.2">
      <c r="E67" s="152">
        <f>$D$12</f>
        <v>2013</v>
      </c>
      <c r="F67" s="152">
        <f>$E$12</f>
        <v>2012</v>
      </c>
    </row>
    <row r="68" spans="1:6" x14ac:dyDescent="0.15">
      <c r="A68" s="84" t="s">
        <v>29</v>
      </c>
      <c r="E68" s="153">
        <f>(D25+D27+D28)-(D34+D36)</f>
        <v>1050</v>
      </c>
      <c r="F68" s="153">
        <f>(E25+E27+E28)-(E34+E36)</f>
        <v>790</v>
      </c>
    </row>
    <row r="69" spans="1:6" x14ac:dyDescent="0.15">
      <c r="A69" s="84" t="s">
        <v>30</v>
      </c>
      <c r="E69" s="153">
        <f>E68+D30</f>
        <v>3050</v>
      </c>
      <c r="F69" s="153">
        <f>F68+E30</f>
        <v>2490</v>
      </c>
    </row>
    <row r="70" spans="1:6" x14ac:dyDescent="0.15">
      <c r="A70" s="84" t="s">
        <v>121</v>
      </c>
      <c r="E70" s="153">
        <f>D51*(1-D15)</f>
        <v>300</v>
      </c>
      <c r="F70" s="153">
        <f>E51*(1-E15)</f>
        <v>330</v>
      </c>
    </row>
    <row r="71" spans="1:6" x14ac:dyDescent="0.15">
      <c r="A71" s="84" t="s">
        <v>120</v>
      </c>
      <c r="E71" s="154">
        <f>E70/E69</f>
        <v>9.8360655737704916E-2</v>
      </c>
      <c r="F71" s="154">
        <f>F70/F69</f>
        <v>0.13253012048192772</v>
      </c>
    </row>
    <row r="72" spans="1:6" x14ac:dyDescent="0.15">
      <c r="A72" s="84" t="s">
        <v>122</v>
      </c>
      <c r="E72" s="153">
        <f>E70-(E69-F69)</f>
        <v>-260</v>
      </c>
      <c r="F72" s="155" t="s">
        <v>31</v>
      </c>
    </row>
    <row r="73" spans="1:6" x14ac:dyDescent="0.15">
      <c r="A73" s="84" t="s">
        <v>123</v>
      </c>
      <c r="E73" s="156">
        <f>D57+D49</f>
        <v>420</v>
      </c>
      <c r="F73" s="153">
        <f>E57+E49</f>
        <v>432</v>
      </c>
    </row>
    <row r="74" spans="1:6" ht="27.75" customHeight="1" x14ac:dyDescent="0.15">
      <c r="A74" s="357" t="s">
        <v>124</v>
      </c>
      <c r="B74" s="357"/>
      <c r="C74" s="357"/>
      <c r="E74" s="153">
        <f>D51+D49</f>
        <v>700</v>
      </c>
      <c r="F74" s="153">
        <f>E51+E49</f>
        <v>720</v>
      </c>
    </row>
    <row r="75" spans="1:6" x14ac:dyDescent="0.15">
      <c r="A75" s="157" t="s">
        <v>137</v>
      </c>
      <c r="B75" s="158"/>
      <c r="C75" s="158"/>
      <c r="E75" s="153">
        <f>D13*D14</f>
        <v>1350</v>
      </c>
      <c r="F75" s="153">
        <f>E13*E14</f>
        <v>2000</v>
      </c>
    </row>
    <row r="76" spans="1:6" x14ac:dyDescent="0.15">
      <c r="E76" s="159"/>
      <c r="F76" s="160"/>
    </row>
    <row r="77" spans="1:6" x14ac:dyDescent="0.15">
      <c r="A77" s="151" t="s">
        <v>43</v>
      </c>
      <c r="B77" s="84"/>
    </row>
    <row r="78" spans="1:6" ht="11.25" thickBot="1" x14ac:dyDescent="0.2">
      <c r="B78" s="161"/>
      <c r="D78" s="161"/>
      <c r="E78" s="152">
        <f>$D$12</f>
        <v>2013</v>
      </c>
      <c r="F78" s="152">
        <f>$E$12</f>
        <v>2012</v>
      </c>
    </row>
    <row r="79" spans="1:6" x14ac:dyDescent="0.15">
      <c r="A79" s="84" t="s">
        <v>4</v>
      </c>
      <c r="B79" s="161"/>
      <c r="D79" s="161"/>
      <c r="E79" s="162">
        <f>D57/D14</f>
        <v>4.4000000000000004</v>
      </c>
      <c r="F79" s="162">
        <f>E57/E14</f>
        <v>5.24</v>
      </c>
    </row>
    <row r="80" spans="1:6" x14ac:dyDescent="0.15">
      <c r="A80" s="84" t="s">
        <v>5</v>
      </c>
      <c r="B80" s="161"/>
      <c r="D80" s="161"/>
      <c r="E80" s="162">
        <f>D59/D14</f>
        <v>1</v>
      </c>
      <c r="F80" s="162">
        <f>E59/E14</f>
        <v>0.96</v>
      </c>
    </row>
    <row r="81" spans="1:7" x14ac:dyDescent="0.15">
      <c r="A81" s="84" t="s">
        <v>6</v>
      </c>
      <c r="B81" s="161"/>
      <c r="D81" s="161"/>
      <c r="E81" s="162">
        <f>D43/D14</f>
        <v>29.4</v>
      </c>
      <c r="F81" s="162">
        <f>E43/E14</f>
        <v>26</v>
      </c>
    </row>
    <row r="82" spans="1:7" x14ac:dyDescent="0.15">
      <c r="A82" s="84" t="s">
        <v>35</v>
      </c>
      <c r="B82" s="84"/>
      <c r="E82" s="163">
        <f>E73/D14</f>
        <v>8.4</v>
      </c>
      <c r="F82" s="163">
        <f>F73/E14</f>
        <v>8.64</v>
      </c>
    </row>
    <row r="83" spans="1:7" x14ac:dyDescent="0.15">
      <c r="A83" s="84" t="s">
        <v>143</v>
      </c>
      <c r="B83" s="84"/>
      <c r="E83" s="164">
        <f>E74/D14</f>
        <v>14</v>
      </c>
      <c r="F83" s="164">
        <f>F74/E14</f>
        <v>14.4</v>
      </c>
    </row>
    <row r="84" spans="1:7" x14ac:dyDescent="0.15">
      <c r="A84" s="84" t="s">
        <v>39</v>
      </c>
      <c r="B84" s="84"/>
      <c r="E84" s="164">
        <f>E72/D14</f>
        <v>-5.2</v>
      </c>
      <c r="F84" s="165" t="s">
        <v>31</v>
      </c>
    </row>
    <row r="85" spans="1:7" x14ac:dyDescent="0.15">
      <c r="B85" s="84"/>
    </row>
    <row r="86" spans="1:7" x14ac:dyDescent="0.15">
      <c r="A86" s="92" t="s">
        <v>177</v>
      </c>
      <c r="F86" s="166" t="s">
        <v>27</v>
      </c>
    </row>
    <row r="87" spans="1:7" ht="11.25" thickBot="1" x14ac:dyDescent="0.2">
      <c r="B87" s="84"/>
      <c r="D87" s="152">
        <f>$D$12</f>
        <v>2013</v>
      </c>
      <c r="E87" s="152">
        <f>$E$12</f>
        <v>2012</v>
      </c>
      <c r="F87" s="167" t="s">
        <v>28</v>
      </c>
    </row>
    <row r="88" spans="1:7" x14ac:dyDescent="0.15">
      <c r="A88" s="168" t="s">
        <v>22</v>
      </c>
      <c r="D88" s="88"/>
      <c r="F88" s="169"/>
    </row>
    <row r="89" spans="1:7" x14ac:dyDescent="0.15">
      <c r="A89" s="170" t="s">
        <v>130</v>
      </c>
      <c r="B89" s="170"/>
      <c r="D89" s="171">
        <f>D29/D37</f>
        <v>1.9871794871794872</v>
      </c>
      <c r="E89" s="171">
        <f>E29/E37</f>
        <v>2.1666666666666665</v>
      </c>
      <c r="F89" s="169">
        <v>2.2000000000000002</v>
      </c>
    </row>
    <row r="90" spans="1:7" x14ac:dyDescent="0.15">
      <c r="A90" s="358" t="s">
        <v>131</v>
      </c>
      <c r="B90" s="358"/>
      <c r="D90" s="171">
        <f>(D29-D28)/D37</f>
        <v>0.70512820512820518</v>
      </c>
      <c r="E90" s="171">
        <f>(E29-E28)/E37</f>
        <v>0.8</v>
      </c>
      <c r="F90" s="169">
        <v>0.8</v>
      </c>
    </row>
    <row r="91" spans="1:7" x14ac:dyDescent="0.15">
      <c r="D91" s="172"/>
      <c r="E91" s="172"/>
      <c r="F91" s="169"/>
    </row>
    <row r="92" spans="1:7" x14ac:dyDescent="0.15">
      <c r="A92" s="92" t="s">
        <v>178</v>
      </c>
      <c r="F92" s="166" t="s">
        <v>27</v>
      </c>
    </row>
    <row r="93" spans="1:7" ht="11.25" thickBot="1" x14ac:dyDescent="0.2">
      <c r="B93" s="84"/>
      <c r="D93" s="152">
        <f>$D$12</f>
        <v>2013</v>
      </c>
      <c r="E93" s="152">
        <f>$E$12</f>
        <v>2012</v>
      </c>
      <c r="F93" s="167" t="s">
        <v>28</v>
      </c>
    </row>
    <row r="94" spans="1:7" x14ac:dyDescent="0.15">
      <c r="A94" s="168" t="s">
        <v>23</v>
      </c>
      <c r="D94" s="172"/>
      <c r="E94" s="172"/>
      <c r="F94" s="169"/>
    </row>
    <row r="95" spans="1:7" x14ac:dyDescent="0.15">
      <c r="A95" s="170" t="s">
        <v>132</v>
      </c>
      <c r="D95" s="171">
        <f>D47/D31</f>
        <v>1.408450704225352</v>
      </c>
      <c r="E95" s="171">
        <f>E47/E31</f>
        <v>1.5866666666666667</v>
      </c>
      <c r="F95" s="169">
        <v>1.8</v>
      </c>
      <c r="G95" s="111"/>
    </row>
    <row r="96" spans="1:7" x14ac:dyDescent="0.15">
      <c r="A96" s="170" t="s">
        <v>133</v>
      </c>
      <c r="D96" s="171">
        <f>D47/D30</f>
        <v>2.5</v>
      </c>
      <c r="E96" s="171">
        <f>E47/E30</f>
        <v>2.8</v>
      </c>
      <c r="F96" s="169">
        <v>3</v>
      </c>
      <c r="G96" s="111"/>
    </row>
    <row r="97" spans="1:9" x14ac:dyDescent="0.15">
      <c r="A97" s="170" t="s">
        <v>127</v>
      </c>
      <c r="B97" s="84"/>
      <c r="D97" s="171">
        <f>D27/(D47/365)</f>
        <v>36.5</v>
      </c>
      <c r="E97" s="171">
        <f>E27/(E47/365)</f>
        <v>29.138655462184872</v>
      </c>
      <c r="F97" s="169">
        <v>30</v>
      </c>
      <c r="G97" s="111"/>
    </row>
    <row r="98" spans="1:9" x14ac:dyDescent="0.15">
      <c r="A98" s="170" t="s">
        <v>126</v>
      </c>
      <c r="D98" s="171">
        <f>(D48+D49)/D28</f>
        <v>4</v>
      </c>
      <c r="E98" s="171">
        <f>(E48+E49)/E28</f>
        <v>4.5487804878048781</v>
      </c>
      <c r="F98" s="169">
        <v>5</v>
      </c>
      <c r="G98" s="111"/>
    </row>
    <row r="99" spans="1:9" x14ac:dyDescent="0.15">
      <c r="A99" s="170"/>
      <c r="D99" s="171"/>
      <c r="E99" s="171"/>
      <c r="F99" s="169"/>
      <c r="G99" s="111"/>
    </row>
    <row r="100" spans="1:9" x14ac:dyDescent="0.15">
      <c r="A100" s="92" t="s">
        <v>179</v>
      </c>
      <c r="F100" s="166" t="s">
        <v>27</v>
      </c>
      <c r="G100" s="111"/>
      <c r="H100" s="111"/>
    </row>
    <row r="101" spans="1:9" ht="11.25" thickBot="1" x14ac:dyDescent="0.2">
      <c r="B101" s="84"/>
      <c r="D101" s="152">
        <f>$D$12</f>
        <v>2013</v>
      </c>
      <c r="E101" s="152">
        <f>$E$12</f>
        <v>2012</v>
      </c>
      <c r="F101" s="167" t="s">
        <v>28</v>
      </c>
      <c r="G101" s="111"/>
      <c r="H101" s="111"/>
    </row>
    <row r="102" spans="1:9" x14ac:dyDescent="0.15">
      <c r="A102" s="173" t="s">
        <v>24</v>
      </c>
      <c r="D102" s="172"/>
      <c r="E102" s="172"/>
      <c r="F102" s="169"/>
      <c r="H102" s="111"/>
    </row>
    <row r="103" spans="1:9" x14ac:dyDescent="0.15">
      <c r="A103" s="170" t="s">
        <v>134</v>
      </c>
      <c r="D103" s="174">
        <f>(D35+D38)/D31</f>
        <v>0.41690140845070423</v>
      </c>
      <c r="E103" s="174">
        <f>(E35+E38)/E31</f>
        <v>0.37666666666666665</v>
      </c>
      <c r="F103" s="175">
        <v>0.25</v>
      </c>
      <c r="H103" s="111"/>
    </row>
    <row r="104" spans="1:9" x14ac:dyDescent="0.15">
      <c r="A104" s="170" t="s">
        <v>135</v>
      </c>
      <c r="D104" s="172">
        <f>(D35+D38)/D43</f>
        <v>1.0068027210884354</v>
      </c>
      <c r="E104" s="172">
        <f>(E35+E38)/E43</f>
        <v>0.86923076923076925</v>
      </c>
      <c r="F104" s="176">
        <v>0.46</v>
      </c>
      <c r="H104" s="111"/>
    </row>
    <row r="105" spans="1:9" ht="11.25" x14ac:dyDescent="0.2">
      <c r="A105" s="170" t="s">
        <v>136</v>
      </c>
      <c r="D105" s="154">
        <f>(D35+D38)/((D35+D38)+(D13*D14))</f>
        <v>0.52296819787985871</v>
      </c>
      <c r="E105" s="154">
        <f>(E35+E38)/((E35+E38)+(E13*E14))</f>
        <v>0.36102236421725242</v>
      </c>
      <c r="F105" s="175">
        <v>0.2</v>
      </c>
      <c r="I105" s="177"/>
    </row>
    <row r="106" spans="1:9" ht="11.25" x14ac:dyDescent="0.2">
      <c r="A106" s="170" t="s">
        <v>138</v>
      </c>
      <c r="D106" s="174">
        <f>D39/D31</f>
        <v>0.55774647887323947</v>
      </c>
      <c r="E106" s="174">
        <f>E39/E31</f>
        <v>0.53333333333333333</v>
      </c>
      <c r="F106" s="175">
        <v>0.45</v>
      </c>
      <c r="I106" s="177"/>
    </row>
    <row r="107" spans="1:9" ht="11.25" x14ac:dyDescent="0.2">
      <c r="A107" s="170" t="s">
        <v>139</v>
      </c>
      <c r="D107" s="171">
        <f>D51/D52</f>
        <v>4.166666666666667</v>
      </c>
      <c r="E107" s="171">
        <f>E51/E52</f>
        <v>5.5</v>
      </c>
      <c r="F107" s="178">
        <v>10</v>
      </c>
      <c r="I107" s="177"/>
    </row>
    <row r="108" spans="1:9" ht="45" customHeight="1" x14ac:dyDescent="0.2">
      <c r="A108" s="357" t="s">
        <v>187</v>
      </c>
      <c r="B108" s="357"/>
      <c r="D108" s="171">
        <f>(D51+D49+D17)/(D52+D17+D18)</f>
        <v>4.333333333333333</v>
      </c>
      <c r="E108" s="171">
        <f>(E51+E49+E17)/(E52+E17+E18)</f>
        <v>5.0540540540540544</v>
      </c>
      <c r="F108" s="178">
        <v>12</v>
      </c>
      <c r="I108" s="177"/>
    </row>
    <row r="109" spans="1:9" ht="11.25" x14ac:dyDescent="0.2">
      <c r="D109" s="172"/>
      <c r="E109" s="172"/>
      <c r="F109" s="169"/>
      <c r="I109" s="177"/>
    </row>
    <row r="110" spans="1:9" x14ac:dyDescent="0.15">
      <c r="A110" s="92" t="s">
        <v>180</v>
      </c>
      <c r="F110" s="166" t="s">
        <v>27</v>
      </c>
    </row>
    <row r="111" spans="1:9" ht="11.25" thickBot="1" x14ac:dyDescent="0.2">
      <c r="B111" s="84"/>
      <c r="D111" s="152">
        <f>$D$12</f>
        <v>2013</v>
      </c>
      <c r="E111" s="152">
        <f>$E$12</f>
        <v>2012</v>
      </c>
      <c r="F111" s="167" t="s">
        <v>28</v>
      </c>
    </row>
    <row r="112" spans="1:9" x14ac:dyDescent="0.15">
      <c r="A112" s="168" t="s">
        <v>36</v>
      </c>
      <c r="D112" s="172"/>
      <c r="E112" s="172"/>
      <c r="F112" s="169"/>
    </row>
    <row r="113" spans="1:9" ht="11.25" x14ac:dyDescent="0.2">
      <c r="A113" s="170" t="s">
        <v>140</v>
      </c>
      <c r="D113" s="174">
        <f>D57/D47</f>
        <v>4.3999999999999997E-2</v>
      </c>
      <c r="E113" s="174">
        <f>E57/E47</f>
        <v>5.5042016806722688E-2</v>
      </c>
      <c r="F113" s="175">
        <v>6.2E-2</v>
      </c>
      <c r="I113" s="177"/>
    </row>
    <row r="114" spans="1:9" ht="11.25" x14ac:dyDescent="0.2">
      <c r="A114" s="170" t="s">
        <v>141</v>
      </c>
      <c r="D114" s="174">
        <f>D51/D31</f>
        <v>0.14084507042253522</v>
      </c>
      <c r="E114" s="174">
        <f>E51/E31</f>
        <v>0.18333333333333332</v>
      </c>
      <c r="F114" s="175">
        <v>0.20200000000000001</v>
      </c>
      <c r="I114" s="177"/>
    </row>
    <row r="115" spans="1:9" ht="11.25" x14ac:dyDescent="0.2">
      <c r="A115" s="170" t="s">
        <v>142</v>
      </c>
      <c r="D115" s="174">
        <f>D57/D31</f>
        <v>6.1971830985915494E-2</v>
      </c>
      <c r="E115" s="174">
        <f>E57/E31</f>
        <v>8.7333333333333332E-2</v>
      </c>
      <c r="F115" s="175">
        <v>0.11</v>
      </c>
      <c r="I115" s="177"/>
    </row>
    <row r="116" spans="1:9" ht="11.25" x14ac:dyDescent="0.2">
      <c r="A116" s="170" t="s">
        <v>144</v>
      </c>
      <c r="D116" s="174">
        <f>D57/D43</f>
        <v>0.14965986394557823</v>
      </c>
      <c r="E116" s="174">
        <f>E57/E43</f>
        <v>0.20153846153846153</v>
      </c>
      <c r="F116" s="175">
        <v>0.19</v>
      </c>
      <c r="I116" s="177"/>
    </row>
    <row r="117" spans="1:9" x14ac:dyDescent="0.15">
      <c r="D117" s="179"/>
      <c r="E117" s="179"/>
      <c r="F117" s="180"/>
    </row>
    <row r="118" spans="1:9" x14ac:dyDescent="0.15">
      <c r="A118" s="92" t="s">
        <v>181</v>
      </c>
      <c r="F118" s="166" t="s">
        <v>27</v>
      </c>
    </row>
    <row r="119" spans="1:9" ht="11.25" thickBot="1" x14ac:dyDescent="0.2">
      <c r="B119" s="84"/>
      <c r="D119" s="152">
        <f>$D$12</f>
        <v>2013</v>
      </c>
      <c r="E119" s="152">
        <f>$E$12</f>
        <v>2012</v>
      </c>
      <c r="F119" s="167" t="s">
        <v>28</v>
      </c>
    </row>
    <row r="120" spans="1:9" x14ac:dyDescent="0.15">
      <c r="A120" s="168" t="s">
        <v>25</v>
      </c>
      <c r="D120" s="172"/>
      <c r="E120" s="172"/>
      <c r="F120" s="169"/>
    </row>
    <row r="121" spans="1:9" x14ac:dyDescent="0.15">
      <c r="A121" s="170" t="s">
        <v>145</v>
      </c>
      <c r="D121" s="171">
        <f>D13/E79</f>
        <v>6.1363636363636358</v>
      </c>
      <c r="E121" s="171">
        <f>E13/F79</f>
        <v>7.6335877862595414</v>
      </c>
      <c r="F121" s="169">
        <v>10.5</v>
      </c>
    </row>
    <row r="122" spans="1:9" ht="45" customHeight="1" x14ac:dyDescent="0.15">
      <c r="A122" s="357" t="s">
        <v>188</v>
      </c>
      <c r="B122" s="357"/>
      <c r="D122" s="171">
        <f>D13/E82</f>
        <v>3.214285714285714</v>
      </c>
      <c r="E122" s="171">
        <f>E13/F82</f>
        <v>4.6296296296296298</v>
      </c>
      <c r="F122" s="169">
        <v>6.3</v>
      </c>
    </row>
    <row r="123" spans="1:9" ht="46.5" customHeight="1" x14ac:dyDescent="0.15">
      <c r="A123" s="357" t="s">
        <v>189</v>
      </c>
      <c r="B123" s="357"/>
      <c r="D123" s="171">
        <f>D13/((D51+D49)/50)</f>
        <v>1.9285714285714286</v>
      </c>
      <c r="E123" s="171">
        <f>E13/((E51+E49)/50)</f>
        <v>2.7777777777777777</v>
      </c>
      <c r="F123" s="178">
        <v>4</v>
      </c>
    </row>
    <row r="124" spans="1:9" x14ac:dyDescent="0.15">
      <c r="A124" s="170" t="s">
        <v>146</v>
      </c>
      <c r="D124" s="171">
        <f>D13/E81</f>
        <v>0.91836734693877553</v>
      </c>
      <c r="E124" s="171">
        <f>E13/F81</f>
        <v>1.5384615384615385</v>
      </c>
      <c r="F124" s="169">
        <v>1.8</v>
      </c>
    </row>
    <row r="125" spans="1:9" x14ac:dyDescent="0.15">
      <c r="C125" s="172"/>
      <c r="D125" s="172"/>
      <c r="E125" s="169"/>
    </row>
    <row r="126" spans="1:9" x14ac:dyDescent="0.15">
      <c r="A126" s="92" t="s">
        <v>182</v>
      </c>
      <c r="C126" s="172"/>
      <c r="D126" s="172"/>
      <c r="E126" s="169"/>
    </row>
    <row r="127" spans="1:9" x14ac:dyDescent="0.15">
      <c r="C127" s="172"/>
      <c r="D127" s="172"/>
      <c r="E127" s="169"/>
    </row>
    <row r="128" spans="1:9" x14ac:dyDescent="0.15">
      <c r="A128" s="151" t="s">
        <v>84</v>
      </c>
      <c r="B128" s="181"/>
      <c r="C128" s="169"/>
      <c r="D128" s="169"/>
      <c r="E128" s="169"/>
      <c r="F128" s="169"/>
      <c r="G128" s="169"/>
      <c r="H128" s="169"/>
    </row>
    <row r="129" spans="1:8" ht="27" customHeight="1" x14ac:dyDescent="0.15">
      <c r="A129" s="356" t="s">
        <v>85</v>
      </c>
      <c r="B129" s="361"/>
      <c r="C129" s="361"/>
      <c r="D129" s="361"/>
      <c r="E129" s="361"/>
      <c r="F129" s="361"/>
      <c r="G129" s="361"/>
      <c r="H129" s="361"/>
    </row>
    <row r="131" spans="1:8" ht="28.5" customHeight="1" x14ac:dyDescent="0.15">
      <c r="A131" s="356" t="s">
        <v>86</v>
      </c>
      <c r="B131" s="361"/>
      <c r="C131" s="361"/>
      <c r="D131" s="361"/>
      <c r="E131" s="361"/>
      <c r="F131" s="361"/>
      <c r="G131" s="361"/>
      <c r="H131" s="361"/>
    </row>
    <row r="132" spans="1:8" ht="11.25" thickBot="1" x14ac:dyDescent="0.2">
      <c r="A132" s="182"/>
      <c r="B132" s="183"/>
      <c r="C132" s="183"/>
      <c r="D132" s="183"/>
      <c r="E132" s="183"/>
      <c r="F132" s="183"/>
      <c r="G132" s="183"/>
      <c r="H132" s="183"/>
    </row>
    <row r="133" spans="1:8" ht="11.25" thickBot="1" x14ac:dyDescent="0.2">
      <c r="C133" s="362" t="s">
        <v>44</v>
      </c>
      <c r="D133" s="363"/>
    </row>
    <row r="134" spans="1:8" ht="11.25" thickBot="1" x14ac:dyDescent="0.2">
      <c r="B134" s="184"/>
      <c r="C134" s="185" t="s">
        <v>47</v>
      </c>
      <c r="D134" s="186" t="s">
        <v>27</v>
      </c>
    </row>
    <row r="135" spans="1:8" x14ac:dyDescent="0.15">
      <c r="B135" s="187">
        <f>B136-1</f>
        <v>2009</v>
      </c>
      <c r="C135" s="188">
        <v>0.15</v>
      </c>
      <c r="D135" s="189">
        <v>0.14000000000000001</v>
      </c>
    </row>
    <row r="136" spans="1:8" x14ac:dyDescent="0.15">
      <c r="B136" s="187">
        <f>B137-1</f>
        <v>2010</v>
      </c>
      <c r="C136" s="188">
        <v>0.18</v>
      </c>
      <c r="D136" s="189">
        <v>0.15</v>
      </c>
    </row>
    <row r="137" spans="1:8" x14ac:dyDescent="0.15">
      <c r="B137" s="187">
        <f>B138-1</f>
        <v>2011</v>
      </c>
      <c r="C137" s="188">
        <v>0.21</v>
      </c>
      <c r="D137" s="189">
        <v>0.18</v>
      </c>
    </row>
    <row r="138" spans="1:8" x14ac:dyDescent="0.15">
      <c r="B138" s="187">
        <f>B139-1</f>
        <v>2012</v>
      </c>
      <c r="C138" s="188">
        <f>E116</f>
        <v>0.20153846153846153</v>
      </c>
      <c r="D138" s="189">
        <v>0.17</v>
      </c>
    </row>
    <row r="139" spans="1:8" ht="11.25" thickBot="1" x14ac:dyDescent="0.2">
      <c r="B139" s="190">
        <f>D12</f>
        <v>2013</v>
      </c>
      <c r="C139" s="191">
        <f>D116</f>
        <v>0.14965986394557823</v>
      </c>
      <c r="D139" s="192">
        <f>F116</f>
        <v>0.19</v>
      </c>
    </row>
    <row r="140" spans="1:8" ht="11.25" thickBot="1" x14ac:dyDescent="0.2"/>
    <row r="141" spans="1:8" x14ac:dyDescent="0.15">
      <c r="A141" s="112" t="s">
        <v>147</v>
      </c>
      <c r="B141" s="113"/>
      <c r="C141" s="114"/>
      <c r="D141" s="114"/>
      <c r="E141" s="114"/>
      <c r="F141" s="115"/>
      <c r="G141" s="117"/>
      <c r="H141" s="111"/>
    </row>
    <row r="142" spans="1:8" x14ac:dyDescent="0.15">
      <c r="A142" s="118" t="s">
        <v>154</v>
      </c>
      <c r="B142" s="119"/>
      <c r="C142" s="120"/>
      <c r="D142" s="120"/>
      <c r="E142" s="120"/>
      <c r="F142" s="193"/>
      <c r="G142" s="117"/>
      <c r="H142" s="111"/>
    </row>
    <row r="143" spans="1:8" x14ac:dyDescent="0.15">
      <c r="A143" s="143"/>
      <c r="B143" s="124"/>
      <c r="C143" s="125"/>
      <c r="D143" s="125"/>
      <c r="E143" s="125"/>
      <c r="F143" s="126"/>
    </row>
    <row r="144" spans="1:8" x14ac:dyDescent="0.15">
      <c r="A144" s="143"/>
      <c r="B144" s="124"/>
      <c r="C144" s="125"/>
      <c r="D144" s="125"/>
      <c r="E144" s="125"/>
      <c r="F144" s="126"/>
    </row>
    <row r="145" spans="1:6" x14ac:dyDescent="0.15">
      <c r="A145" s="143"/>
      <c r="B145" s="124"/>
      <c r="C145" s="125"/>
      <c r="D145" s="125"/>
      <c r="E145" s="125"/>
      <c r="F145" s="126"/>
    </row>
    <row r="146" spans="1:6" x14ac:dyDescent="0.15">
      <c r="A146" s="143"/>
      <c r="B146" s="124"/>
      <c r="C146" s="125"/>
      <c r="D146" s="125"/>
      <c r="E146" s="125"/>
      <c r="F146" s="126"/>
    </row>
    <row r="147" spans="1:6" x14ac:dyDescent="0.15">
      <c r="A147" s="143"/>
      <c r="B147" s="124"/>
      <c r="C147" s="125"/>
      <c r="D147" s="125"/>
      <c r="E147" s="125"/>
      <c r="F147" s="126"/>
    </row>
    <row r="148" spans="1:6" x14ac:dyDescent="0.15">
      <c r="A148" s="143"/>
      <c r="B148" s="124"/>
      <c r="C148" s="125"/>
      <c r="D148" s="125"/>
      <c r="E148" s="125"/>
      <c r="F148" s="126"/>
    </row>
    <row r="149" spans="1:6" x14ac:dyDescent="0.15">
      <c r="A149" s="143"/>
      <c r="B149" s="124"/>
      <c r="C149" s="125"/>
      <c r="D149" s="125"/>
      <c r="E149" s="125"/>
      <c r="F149" s="126"/>
    </row>
    <row r="150" spans="1:6" x14ac:dyDescent="0.15">
      <c r="A150" s="143"/>
      <c r="B150" s="124"/>
      <c r="C150" s="125"/>
      <c r="D150" s="125"/>
      <c r="E150" s="125"/>
      <c r="F150" s="126"/>
    </row>
    <row r="151" spans="1:6" x14ac:dyDescent="0.15">
      <c r="A151" s="143"/>
      <c r="B151" s="124"/>
      <c r="C151" s="125"/>
      <c r="D151" s="125"/>
      <c r="E151" s="125"/>
      <c r="F151" s="126"/>
    </row>
    <row r="152" spans="1:6" x14ac:dyDescent="0.15">
      <c r="A152" s="143"/>
      <c r="B152" s="124"/>
      <c r="C152" s="125"/>
      <c r="D152" s="125"/>
      <c r="E152" s="125"/>
      <c r="F152" s="126"/>
    </row>
    <row r="153" spans="1:6" x14ac:dyDescent="0.15">
      <c r="A153" s="143"/>
      <c r="B153" s="124"/>
      <c r="C153" s="125"/>
      <c r="D153" s="125"/>
      <c r="E153" s="125"/>
      <c r="F153" s="126"/>
    </row>
    <row r="154" spans="1:6" x14ac:dyDescent="0.15">
      <c r="A154" s="143"/>
      <c r="B154" s="124"/>
      <c r="C154" s="125"/>
      <c r="D154" s="125"/>
      <c r="E154" s="125"/>
      <c r="F154" s="126"/>
    </row>
    <row r="155" spans="1:6" x14ac:dyDescent="0.15">
      <c r="A155" s="143"/>
      <c r="B155" s="124"/>
      <c r="C155" s="125"/>
      <c r="D155" s="125"/>
      <c r="E155" s="125"/>
      <c r="F155" s="126"/>
    </row>
    <row r="156" spans="1:6" x14ac:dyDescent="0.15">
      <c r="A156" s="143"/>
      <c r="B156" s="124"/>
      <c r="C156" s="125"/>
      <c r="D156" s="125"/>
      <c r="E156" s="125"/>
      <c r="F156" s="126"/>
    </row>
    <row r="157" spans="1:6" x14ac:dyDescent="0.15">
      <c r="A157" s="143"/>
      <c r="B157" s="124"/>
      <c r="C157" s="125"/>
      <c r="D157" s="125"/>
      <c r="E157" s="125"/>
      <c r="F157" s="126"/>
    </row>
    <row r="158" spans="1:6" x14ac:dyDescent="0.15">
      <c r="A158" s="143"/>
      <c r="B158" s="124"/>
      <c r="C158" s="125"/>
      <c r="D158" s="125"/>
      <c r="E158" s="125"/>
      <c r="F158" s="126"/>
    </row>
    <row r="159" spans="1:6" x14ac:dyDescent="0.15">
      <c r="A159" s="143"/>
      <c r="B159" s="124"/>
      <c r="C159" s="194"/>
      <c r="D159" s="194"/>
      <c r="E159" s="195"/>
      <c r="F159" s="126"/>
    </row>
    <row r="160" spans="1:6" x14ac:dyDescent="0.15">
      <c r="A160" s="143"/>
      <c r="B160" s="124"/>
      <c r="C160" s="194"/>
      <c r="D160" s="194"/>
      <c r="E160" s="195"/>
      <c r="F160" s="126"/>
    </row>
    <row r="161" spans="1:9" x14ac:dyDescent="0.15">
      <c r="A161" s="143"/>
      <c r="B161" s="124"/>
      <c r="C161" s="194"/>
      <c r="D161" s="194"/>
      <c r="E161" s="195"/>
      <c r="F161" s="126"/>
    </row>
    <row r="162" spans="1:9" x14ac:dyDescent="0.15">
      <c r="A162" s="143"/>
      <c r="B162" s="124"/>
      <c r="C162" s="194"/>
      <c r="D162" s="194"/>
      <c r="E162" s="195"/>
      <c r="F162" s="126"/>
    </row>
    <row r="163" spans="1:9" x14ac:dyDescent="0.15">
      <c r="A163" s="143"/>
      <c r="B163" s="124"/>
      <c r="C163" s="194"/>
      <c r="D163" s="194"/>
      <c r="E163" s="195"/>
      <c r="F163" s="126"/>
    </row>
    <row r="164" spans="1:9" x14ac:dyDescent="0.15">
      <c r="A164" s="143"/>
      <c r="B164" s="124"/>
      <c r="C164" s="194"/>
      <c r="D164" s="194"/>
      <c r="E164" s="195"/>
      <c r="F164" s="126"/>
    </row>
    <row r="165" spans="1:9" x14ac:dyDescent="0.15">
      <c r="A165" s="143"/>
      <c r="B165" s="124"/>
      <c r="C165" s="194"/>
      <c r="D165" s="194"/>
      <c r="E165" s="195"/>
      <c r="F165" s="126"/>
    </row>
    <row r="166" spans="1:9" x14ac:dyDescent="0.15">
      <c r="A166" s="143"/>
      <c r="B166" s="124"/>
      <c r="C166" s="194"/>
      <c r="D166" s="194"/>
      <c r="E166" s="195"/>
      <c r="F166" s="126"/>
    </row>
    <row r="167" spans="1:9" x14ac:dyDescent="0.15">
      <c r="A167" s="143"/>
      <c r="B167" s="124"/>
      <c r="C167" s="194"/>
      <c r="D167" s="194"/>
      <c r="E167" s="195"/>
      <c r="F167" s="126"/>
    </row>
    <row r="168" spans="1:9" ht="11.25" thickBot="1" x14ac:dyDescent="0.2">
      <c r="A168" s="196"/>
      <c r="B168" s="197"/>
      <c r="C168" s="198"/>
      <c r="D168" s="198"/>
      <c r="E168" s="199"/>
      <c r="F168" s="200"/>
    </row>
    <row r="169" spans="1:9" x14ac:dyDescent="0.15">
      <c r="C169" s="172"/>
      <c r="D169" s="172"/>
      <c r="E169" s="169"/>
    </row>
    <row r="170" spans="1:9" x14ac:dyDescent="0.15">
      <c r="A170" s="151" t="s">
        <v>88</v>
      </c>
      <c r="B170" s="201"/>
      <c r="C170" s="201"/>
      <c r="D170" s="201"/>
      <c r="E170" s="201"/>
      <c r="F170" s="201"/>
      <c r="G170" s="202"/>
      <c r="H170" s="202"/>
    </row>
    <row r="171" spans="1:9" x14ac:dyDescent="0.15">
      <c r="A171" s="169" t="s">
        <v>89</v>
      </c>
      <c r="B171" s="202"/>
      <c r="C171" s="202"/>
      <c r="D171" s="202"/>
      <c r="E171" s="202"/>
      <c r="F171" s="202"/>
      <c r="G171" s="202"/>
      <c r="H171" s="202"/>
    </row>
    <row r="172" spans="1:9" x14ac:dyDescent="0.15">
      <c r="A172" s="111"/>
      <c r="B172" s="203"/>
      <c r="C172" s="203"/>
      <c r="D172" s="203"/>
      <c r="E172" s="203"/>
      <c r="F172" s="203"/>
      <c r="G172" s="203"/>
      <c r="H172" s="202"/>
    </row>
    <row r="173" spans="1:9" x14ac:dyDescent="0.15">
      <c r="A173" s="267" t="s">
        <v>149</v>
      </c>
      <c r="B173" s="268"/>
      <c r="C173" s="269"/>
      <c r="D173" s="269"/>
      <c r="E173" s="269"/>
      <c r="F173" s="308"/>
      <c r="G173" s="204"/>
      <c r="H173" s="202"/>
    </row>
    <row r="174" spans="1:9" ht="16.899999999999999" customHeight="1" x14ac:dyDescent="0.15">
      <c r="A174" s="330" t="s">
        <v>148</v>
      </c>
      <c r="B174" s="290"/>
      <c r="C174" s="291"/>
      <c r="D174" s="291"/>
      <c r="E174" s="291"/>
      <c r="F174" s="309"/>
      <c r="G174" s="204"/>
      <c r="H174" s="202"/>
    </row>
    <row r="175" spans="1:9" ht="21" x14ac:dyDescent="0.15">
      <c r="A175" s="311"/>
      <c r="B175" s="312"/>
      <c r="C175" s="312"/>
      <c r="D175" s="310" t="str">
        <f>C195</f>
        <v>Industry Composite</v>
      </c>
      <c r="E175" s="359" t="s">
        <v>47</v>
      </c>
      <c r="F175" s="360"/>
      <c r="G175" s="127"/>
      <c r="H175" s="206"/>
    </row>
    <row r="176" spans="1:9" x14ac:dyDescent="0.15">
      <c r="A176" s="313"/>
      <c r="B176" s="243"/>
      <c r="C176" s="243"/>
      <c r="D176" s="314">
        <f>C196</f>
        <v>2013</v>
      </c>
      <c r="E176" s="315">
        <f>D196</f>
        <v>2013</v>
      </c>
      <c r="F176" s="316">
        <f>E196</f>
        <v>2012</v>
      </c>
      <c r="G176" s="127"/>
      <c r="H176" s="149"/>
      <c r="I176" s="149"/>
    </row>
    <row r="177" spans="1:9" x14ac:dyDescent="0.15">
      <c r="A177" s="318" t="str">
        <f t="shared" ref="A177:A187" si="0">A47</f>
        <v>Net sales</v>
      </c>
      <c r="B177" s="319"/>
      <c r="C177" s="319"/>
      <c r="D177" s="320">
        <v>1</v>
      </c>
      <c r="E177" s="321">
        <f t="shared" ref="E177:F187" si="1">D47/D$47</f>
        <v>1</v>
      </c>
      <c r="F177" s="322">
        <f t="shared" si="1"/>
        <v>1</v>
      </c>
      <c r="G177" s="127"/>
      <c r="H177" s="210"/>
      <c r="I177" s="210"/>
    </row>
    <row r="178" spans="1:9" x14ac:dyDescent="0.15">
      <c r="A178" s="274" t="str">
        <f t="shared" si="0"/>
        <v>Costs of goods sold except depreciation</v>
      </c>
      <c r="B178" s="211"/>
      <c r="C178" s="211"/>
      <c r="D178" s="212">
        <v>0.755</v>
      </c>
      <c r="E178" s="213">
        <f t="shared" si="1"/>
        <v>0.76</v>
      </c>
      <c r="F178" s="323">
        <f t="shared" si="1"/>
        <v>0.74789915966386555</v>
      </c>
      <c r="G178" s="127"/>
      <c r="H178" s="210"/>
      <c r="I178" s="210"/>
    </row>
    <row r="179" spans="1:9" x14ac:dyDescent="0.15">
      <c r="A179" s="274" t="str">
        <f t="shared" si="0"/>
        <v>Depreciation</v>
      </c>
      <c r="B179" s="211"/>
      <c r="C179" s="211"/>
      <c r="D179" s="212">
        <v>2.9700000000000001E-2</v>
      </c>
      <c r="E179" s="213">
        <f t="shared" si="1"/>
        <v>0.04</v>
      </c>
      <c r="F179" s="323">
        <f t="shared" si="1"/>
        <v>3.5714285714285712E-2</v>
      </c>
      <c r="G179" s="127"/>
      <c r="H179" s="210"/>
      <c r="I179" s="214"/>
    </row>
    <row r="180" spans="1:9" x14ac:dyDescent="0.15">
      <c r="A180" s="274" t="str">
        <f t="shared" si="0"/>
        <v>Other operating expenses</v>
      </c>
      <c r="B180" s="211"/>
      <c r="C180" s="211"/>
      <c r="D180" s="215">
        <v>0.1</v>
      </c>
      <c r="E180" s="216">
        <f t="shared" si="1"/>
        <v>0.1</v>
      </c>
      <c r="F180" s="324">
        <f t="shared" si="1"/>
        <v>0.10084033613445378</v>
      </c>
      <c r="G180" s="127"/>
      <c r="H180" s="210"/>
      <c r="I180" s="214"/>
    </row>
    <row r="181" spans="1:9" x14ac:dyDescent="0.15">
      <c r="A181" s="278" t="str">
        <f t="shared" si="0"/>
        <v>Earnings before interest and taxes (EBIT)</v>
      </c>
      <c r="B181" s="211"/>
      <c r="C181" s="211"/>
      <c r="D181" s="212">
        <v>0.11529999999999994</v>
      </c>
      <c r="E181" s="213">
        <f t="shared" si="1"/>
        <v>0.1</v>
      </c>
      <c r="F181" s="323">
        <f t="shared" si="1"/>
        <v>0.11554621848739496</v>
      </c>
      <c r="G181" s="127"/>
      <c r="H181" s="210"/>
      <c r="I181" s="214"/>
    </row>
    <row r="182" spans="1:9" x14ac:dyDescent="0.15">
      <c r="A182" s="274" t="str">
        <f t="shared" si="0"/>
        <v xml:space="preserve">Less interest </v>
      </c>
      <c r="B182" s="211"/>
      <c r="C182" s="211"/>
      <c r="D182" s="215">
        <v>1.1585428314253144E-2</v>
      </c>
      <c r="E182" s="216">
        <f t="shared" si="1"/>
        <v>2.4E-2</v>
      </c>
      <c r="F182" s="324">
        <f t="shared" si="1"/>
        <v>2.100840336134454E-2</v>
      </c>
      <c r="G182" s="127"/>
      <c r="H182" s="210"/>
      <c r="I182" s="210"/>
    </row>
    <row r="183" spans="1:9" x14ac:dyDescent="0.15">
      <c r="A183" s="278" t="str">
        <f t="shared" si="0"/>
        <v>Pre-tax earnings</v>
      </c>
      <c r="B183" s="211"/>
      <c r="C183" s="211"/>
      <c r="D183" s="212">
        <v>0.10371457168574681</v>
      </c>
      <c r="E183" s="213">
        <f t="shared" si="1"/>
        <v>7.5999999999999998E-2</v>
      </c>
      <c r="F183" s="323">
        <f t="shared" si="1"/>
        <v>9.4537815126050417E-2</v>
      </c>
      <c r="G183" s="127"/>
      <c r="H183" s="210"/>
      <c r="I183" s="210"/>
    </row>
    <row r="184" spans="1:9" x14ac:dyDescent="0.15">
      <c r="A184" s="274" t="str">
        <f t="shared" si="0"/>
        <v>Taxes (40%)</v>
      </c>
      <c r="B184" s="211"/>
      <c r="C184" s="211"/>
      <c r="D184" s="215">
        <v>4.1485828674298723E-2</v>
      </c>
      <c r="E184" s="216">
        <f t="shared" si="1"/>
        <v>3.04E-2</v>
      </c>
      <c r="F184" s="324">
        <f t="shared" si="1"/>
        <v>3.7815126050420166E-2</v>
      </c>
      <c r="G184" s="127"/>
      <c r="H184" s="210"/>
      <c r="I184" s="210"/>
    </row>
    <row r="185" spans="1:9" x14ac:dyDescent="0.15">
      <c r="A185" s="278" t="str">
        <f t="shared" si="0"/>
        <v>Net Income before preferred dividends</v>
      </c>
      <c r="B185" s="211"/>
      <c r="C185" s="211"/>
      <c r="D185" s="212">
        <v>6.2228743011448082E-2</v>
      </c>
      <c r="E185" s="213">
        <f t="shared" si="1"/>
        <v>4.5600000000000002E-2</v>
      </c>
      <c r="F185" s="323">
        <f t="shared" si="1"/>
        <v>5.6722689075630252E-2</v>
      </c>
      <c r="G185" s="127"/>
      <c r="H185" s="210"/>
      <c r="I185" s="210"/>
    </row>
    <row r="186" spans="1:9" x14ac:dyDescent="0.15">
      <c r="A186" s="274" t="str">
        <f t="shared" si="0"/>
        <v>Preferred dividends</v>
      </c>
      <c r="B186" s="211"/>
      <c r="C186" s="211"/>
      <c r="D186" s="212">
        <v>0</v>
      </c>
      <c r="E186" s="213">
        <f t="shared" si="1"/>
        <v>1.6000000000000001E-3</v>
      </c>
      <c r="F186" s="323">
        <f t="shared" si="1"/>
        <v>1.6806722689075631E-3</v>
      </c>
      <c r="G186" s="127"/>
      <c r="H186" s="210"/>
      <c r="I186" s="210"/>
    </row>
    <row r="187" spans="1:9" ht="11.25" thickBot="1" x14ac:dyDescent="0.2">
      <c r="A187" s="274" t="str">
        <f t="shared" si="0"/>
        <v>Net Income available to common stockholders</v>
      </c>
      <c r="B187" s="211"/>
      <c r="C187" s="211"/>
      <c r="D187" s="212">
        <v>6.2228743011448082E-2</v>
      </c>
      <c r="E187" s="213">
        <f t="shared" si="1"/>
        <v>4.3999999999999997E-2</v>
      </c>
      <c r="F187" s="323">
        <f t="shared" si="1"/>
        <v>5.5042016806722688E-2</v>
      </c>
      <c r="G187" s="127"/>
      <c r="H187" s="210"/>
      <c r="I187" s="210"/>
    </row>
    <row r="188" spans="1:9" ht="11.25" thickTop="1" x14ac:dyDescent="0.15">
      <c r="A188" s="325"/>
      <c r="B188" s="211"/>
      <c r="C188" s="211"/>
      <c r="D188" s="317"/>
      <c r="E188" s="317"/>
      <c r="F188" s="326"/>
      <c r="G188" s="204"/>
      <c r="H188" s="202"/>
    </row>
    <row r="189" spans="1:9" x14ac:dyDescent="0.15">
      <c r="A189" s="327"/>
      <c r="B189" s="328"/>
      <c r="C189" s="328"/>
      <c r="D189" s="328"/>
      <c r="E189" s="328"/>
      <c r="F189" s="329"/>
      <c r="G189" s="220"/>
      <c r="H189" s="202"/>
    </row>
    <row r="190" spans="1:9" x14ac:dyDescent="0.15">
      <c r="A190" s="151"/>
      <c r="B190" s="202"/>
      <c r="C190" s="202"/>
      <c r="D190" s="202"/>
      <c r="E190" s="202"/>
      <c r="F190" s="202"/>
      <c r="G190" s="202"/>
      <c r="H190" s="202"/>
    </row>
    <row r="191" spans="1:9" x14ac:dyDescent="0.15">
      <c r="A191" s="169" t="s">
        <v>91</v>
      </c>
      <c r="B191" s="202"/>
      <c r="C191" s="202"/>
      <c r="D191" s="202"/>
      <c r="E191" s="202"/>
      <c r="F191" s="202"/>
      <c r="G191" s="202"/>
      <c r="H191" s="202"/>
    </row>
    <row r="192" spans="1:9" x14ac:dyDescent="0.15">
      <c r="A192" s="169"/>
      <c r="B192" s="202"/>
      <c r="C192" s="202"/>
      <c r="D192" s="202"/>
      <c r="E192" s="202"/>
      <c r="F192" s="202"/>
      <c r="G192" s="202"/>
      <c r="H192" s="202"/>
    </row>
    <row r="193" spans="1:11" x14ac:dyDescent="0.15">
      <c r="A193" s="267" t="s">
        <v>151</v>
      </c>
      <c r="B193" s="268"/>
      <c r="C193" s="269"/>
      <c r="D193" s="269"/>
      <c r="E193" s="270"/>
      <c r="F193" s="204"/>
      <c r="G193" s="202"/>
      <c r="H193" s="202"/>
      <c r="J193" s="92"/>
    </row>
    <row r="194" spans="1:11" x14ac:dyDescent="0.15">
      <c r="A194" s="289" t="s">
        <v>150</v>
      </c>
      <c r="B194" s="290"/>
      <c r="C194" s="291"/>
      <c r="D194" s="291"/>
      <c r="E194" s="331"/>
      <c r="F194" s="204"/>
      <c r="G194" s="202"/>
      <c r="H194" s="202"/>
    </row>
    <row r="195" spans="1:11" ht="21" x14ac:dyDescent="0.15">
      <c r="A195" s="332"/>
      <c r="B195" s="333"/>
      <c r="C195" s="310" t="s">
        <v>87</v>
      </c>
      <c r="D195" s="359" t="s">
        <v>47</v>
      </c>
      <c r="E195" s="360"/>
      <c r="F195" s="127"/>
      <c r="G195" s="111"/>
      <c r="H195" s="206"/>
    </row>
    <row r="196" spans="1:11" x14ac:dyDescent="0.15">
      <c r="A196" s="313"/>
      <c r="B196" s="242"/>
      <c r="C196" s="334">
        <f>D12</f>
        <v>2013</v>
      </c>
      <c r="D196" s="335">
        <f>D12</f>
        <v>2013</v>
      </c>
      <c r="E196" s="336">
        <f>E12</f>
        <v>2012</v>
      </c>
      <c r="F196" s="127"/>
      <c r="G196" s="111"/>
      <c r="H196" s="206"/>
    </row>
    <row r="197" spans="1:11" x14ac:dyDescent="0.15">
      <c r="A197" s="337" t="str">
        <f>Chapter!A24</f>
        <v>Assets</v>
      </c>
      <c r="B197" s="338"/>
      <c r="C197" s="339"/>
      <c r="D197" s="338"/>
      <c r="E197" s="340"/>
      <c r="F197" s="127"/>
      <c r="G197" s="111"/>
      <c r="H197" s="206"/>
    </row>
    <row r="198" spans="1:11" x14ac:dyDescent="0.15">
      <c r="A198" s="274" t="str">
        <f t="shared" ref="A198:A204" si="2">A25</f>
        <v>Cash and equivalents</v>
      </c>
      <c r="B198" s="205"/>
      <c r="C198" s="212">
        <v>1.7543859649122806E-2</v>
      </c>
      <c r="D198" s="213">
        <f t="shared" ref="D198:E203" si="3">D25/D$31</f>
        <v>1.4084507042253521E-2</v>
      </c>
      <c r="E198" s="323">
        <f t="shared" si="3"/>
        <v>0.02</v>
      </c>
      <c r="F198" s="127"/>
      <c r="G198" s="111"/>
      <c r="H198" s="206"/>
    </row>
    <row r="199" spans="1:11" x14ac:dyDescent="0.15">
      <c r="A199" s="274" t="str">
        <f t="shared" si="2"/>
        <v>Short-term investments</v>
      </c>
      <c r="B199" s="205"/>
      <c r="C199" s="212">
        <v>0</v>
      </c>
      <c r="D199" s="213">
        <f t="shared" si="3"/>
        <v>0</v>
      </c>
      <c r="E199" s="323">
        <f t="shared" si="3"/>
        <v>1.3333333333333334E-2</v>
      </c>
      <c r="F199" s="127"/>
      <c r="G199" s="111"/>
      <c r="H199" s="206"/>
    </row>
    <row r="200" spans="1:11" x14ac:dyDescent="0.15">
      <c r="A200" s="274" t="str">
        <f t="shared" si="2"/>
        <v>Accounts receivable</v>
      </c>
      <c r="B200" s="205"/>
      <c r="C200" s="212">
        <v>0.14035087719298245</v>
      </c>
      <c r="D200" s="213">
        <f t="shared" si="3"/>
        <v>0.14084507042253522</v>
      </c>
      <c r="E200" s="323">
        <f t="shared" si="3"/>
        <v>0.12666666666666668</v>
      </c>
      <c r="F200" s="127"/>
      <c r="G200" s="111"/>
      <c r="H200" s="206"/>
    </row>
    <row r="201" spans="1:11" x14ac:dyDescent="0.15">
      <c r="A201" s="274" t="str">
        <f t="shared" si="2"/>
        <v>Inventories</v>
      </c>
      <c r="B201" s="205"/>
      <c r="C201" s="215">
        <v>0.26315789473684209</v>
      </c>
      <c r="D201" s="216">
        <f t="shared" si="3"/>
        <v>0.28169014084507044</v>
      </c>
      <c r="E201" s="324">
        <f t="shared" si="3"/>
        <v>0.27333333333333332</v>
      </c>
      <c r="F201" s="127"/>
      <c r="G201" s="111"/>
      <c r="H201" s="206"/>
    </row>
    <row r="202" spans="1:11" x14ac:dyDescent="0.15">
      <c r="A202" s="278" t="str">
        <f t="shared" si="2"/>
        <v>Total current assets</v>
      </c>
      <c r="B202" s="205"/>
      <c r="C202" s="212">
        <v>0.42105263157894735</v>
      </c>
      <c r="D202" s="213">
        <f t="shared" si="3"/>
        <v>0.43661971830985913</v>
      </c>
      <c r="E202" s="323">
        <f t="shared" si="3"/>
        <v>0.43333333333333335</v>
      </c>
      <c r="F202" s="127"/>
      <c r="G202" s="111"/>
      <c r="H202" s="206"/>
    </row>
    <row r="203" spans="1:11" x14ac:dyDescent="0.15">
      <c r="A203" s="274" t="str">
        <f t="shared" si="2"/>
        <v>Net plant and equipment</v>
      </c>
      <c r="B203" s="205"/>
      <c r="C203" s="215">
        <v>0.57894736842105265</v>
      </c>
      <c r="D203" s="216">
        <f t="shared" si="3"/>
        <v>0.56338028169014087</v>
      </c>
      <c r="E203" s="324">
        <f t="shared" si="3"/>
        <v>0.56666666666666665</v>
      </c>
      <c r="F203" s="127"/>
      <c r="G203" s="111"/>
      <c r="H203" s="206"/>
    </row>
    <row r="204" spans="1:11" ht="11.25" thickBot="1" x14ac:dyDescent="0.2">
      <c r="A204" s="279" t="str">
        <f t="shared" si="2"/>
        <v>Total assets</v>
      </c>
      <c r="B204" s="205"/>
      <c r="C204" s="217">
        <f>C202+C203</f>
        <v>1</v>
      </c>
      <c r="D204" s="218">
        <f t="shared" ref="D204:E204" si="4">D202+D203</f>
        <v>1</v>
      </c>
      <c r="E204" s="341">
        <f t="shared" si="4"/>
        <v>1</v>
      </c>
      <c r="F204" s="127"/>
      <c r="G204" s="111"/>
      <c r="H204" s="224"/>
      <c r="I204" s="224"/>
      <c r="J204" s="224"/>
    </row>
    <row r="205" spans="1:11" ht="11.25" thickTop="1" x14ac:dyDescent="0.15">
      <c r="A205" s="274"/>
      <c r="B205" s="205"/>
      <c r="C205" s="225"/>
      <c r="D205" s="213"/>
      <c r="E205" s="323"/>
      <c r="F205" s="127"/>
      <c r="G205" s="111"/>
      <c r="H205" s="206"/>
    </row>
    <row r="206" spans="1:11" x14ac:dyDescent="0.15">
      <c r="A206" s="294" t="str">
        <f t="shared" ref="A206:A212" si="5">A33</f>
        <v>Liabilities and Equity</v>
      </c>
      <c r="B206" s="205"/>
      <c r="C206" s="225"/>
      <c r="D206" s="213"/>
      <c r="E206" s="323"/>
      <c r="F206" s="127"/>
      <c r="G206" s="111"/>
      <c r="H206" s="206"/>
    </row>
    <row r="207" spans="1:11" x14ac:dyDescent="0.15">
      <c r="A207" s="274" t="str">
        <f t="shared" si="5"/>
        <v>Accounts payable</v>
      </c>
      <c r="B207" s="205"/>
      <c r="C207" s="212">
        <v>7.0175438596491224E-2</v>
      </c>
      <c r="D207" s="213">
        <f t="shared" ref="D207:E213" si="6">D34/D$31</f>
        <v>5.6338028169014086E-2</v>
      </c>
      <c r="E207" s="323">
        <f t="shared" si="6"/>
        <v>6.3333333333333339E-2</v>
      </c>
      <c r="F207" s="127"/>
      <c r="G207" s="111"/>
      <c r="H207" s="206"/>
      <c r="I207"/>
      <c r="J207"/>
      <c r="K207"/>
    </row>
    <row r="208" spans="1:11" x14ac:dyDescent="0.15">
      <c r="A208" s="274" t="str">
        <f t="shared" si="5"/>
        <v>Notes payable</v>
      </c>
      <c r="B208" s="205"/>
      <c r="C208" s="212">
        <v>0</v>
      </c>
      <c r="D208" s="213">
        <f t="shared" si="6"/>
        <v>7.8873239436619724E-2</v>
      </c>
      <c r="E208" s="323">
        <f t="shared" si="6"/>
        <v>4.3333333333333335E-2</v>
      </c>
      <c r="F208" s="127"/>
      <c r="G208" s="111"/>
      <c r="H208" s="206"/>
      <c r="I208"/>
      <c r="J208"/>
      <c r="K208"/>
    </row>
    <row r="209" spans="1:11" x14ac:dyDescent="0.15">
      <c r="A209" s="274" t="str">
        <f t="shared" si="5"/>
        <v>Accruals</v>
      </c>
      <c r="B209" s="205"/>
      <c r="C209" s="215">
        <v>0.12280701754385964</v>
      </c>
      <c r="D209" s="216">
        <f t="shared" si="6"/>
        <v>8.4507042253521125E-2</v>
      </c>
      <c r="E209" s="324">
        <f t="shared" si="6"/>
        <v>9.3333333333333338E-2</v>
      </c>
      <c r="F209" s="127"/>
      <c r="G209" s="111"/>
      <c r="H209" s="206"/>
      <c r="I209"/>
      <c r="J209"/>
      <c r="K209"/>
    </row>
    <row r="210" spans="1:11" x14ac:dyDescent="0.15">
      <c r="A210" s="278" t="str">
        <f t="shared" si="5"/>
        <v>Total current liabilities</v>
      </c>
      <c r="B210" s="205"/>
      <c r="C210" s="212">
        <v>0.19298245614035087</v>
      </c>
      <c r="D210" s="213">
        <f t="shared" si="6"/>
        <v>0.21971830985915494</v>
      </c>
      <c r="E210" s="323">
        <f t="shared" si="6"/>
        <v>0.2</v>
      </c>
      <c r="F210" s="127"/>
      <c r="G210" s="111"/>
      <c r="H210" s="206"/>
      <c r="I210"/>
      <c r="J210"/>
      <c r="K210"/>
    </row>
    <row r="211" spans="1:11" x14ac:dyDescent="0.15">
      <c r="A211" s="274" t="str">
        <f t="shared" si="5"/>
        <v>Long-term bonds</v>
      </c>
      <c r="B211" s="205"/>
      <c r="C211" s="215">
        <v>0.25406641040028827</v>
      </c>
      <c r="D211" s="216">
        <f t="shared" si="6"/>
        <v>0.3380281690140845</v>
      </c>
      <c r="E211" s="324">
        <f t="shared" si="6"/>
        <v>0.33333333333333331</v>
      </c>
      <c r="F211" s="127"/>
      <c r="G211" s="111"/>
      <c r="H211" s="206"/>
      <c r="I211"/>
      <c r="J211"/>
      <c r="K211"/>
    </row>
    <row r="212" spans="1:11" x14ac:dyDescent="0.15">
      <c r="A212" s="278" t="str">
        <f t="shared" si="5"/>
        <v>Total liabilities</v>
      </c>
      <c r="B212" s="205"/>
      <c r="C212" s="212">
        <v>0.44704886654063913</v>
      </c>
      <c r="D212" s="213">
        <f t="shared" si="6"/>
        <v>0.55774647887323947</v>
      </c>
      <c r="E212" s="323">
        <f t="shared" si="6"/>
        <v>0.53333333333333333</v>
      </c>
      <c r="F212" s="127"/>
      <c r="G212" s="111"/>
      <c r="H212" s="206"/>
      <c r="I212"/>
      <c r="J212"/>
      <c r="K212"/>
    </row>
    <row r="213" spans="1:11" x14ac:dyDescent="0.15">
      <c r="A213" s="274" t="s">
        <v>90</v>
      </c>
      <c r="B213" s="205"/>
      <c r="C213" s="212">
        <v>0</v>
      </c>
      <c r="D213" s="213">
        <f t="shared" si="6"/>
        <v>2.8169014084507043E-2</v>
      </c>
      <c r="E213" s="323">
        <f t="shared" si="6"/>
        <v>3.3333333333333333E-2</v>
      </c>
      <c r="F213" s="127"/>
      <c r="G213" s="111"/>
      <c r="H213" s="206"/>
      <c r="I213"/>
      <c r="J213"/>
      <c r="K213"/>
    </row>
    <row r="214" spans="1:11" x14ac:dyDescent="0.15">
      <c r="A214" s="274" t="s">
        <v>19</v>
      </c>
      <c r="B214" s="205"/>
      <c r="C214" s="212">
        <v>0.55295113345936087</v>
      </c>
      <c r="D214" s="213">
        <f>D43/D$31</f>
        <v>0.41408450704225352</v>
      </c>
      <c r="E214" s="323">
        <f>E43/E$31</f>
        <v>0.43333333333333335</v>
      </c>
      <c r="F214" s="127"/>
      <c r="G214" s="111"/>
      <c r="H214" s="224"/>
      <c r="I214"/>
      <c r="J214"/>
      <c r="K214"/>
    </row>
    <row r="215" spans="1:11" ht="11.25" thickBot="1" x14ac:dyDescent="0.2">
      <c r="A215" s="274" t="str">
        <f>A44</f>
        <v>Total liabilities and equity</v>
      </c>
      <c r="B215" s="342"/>
      <c r="C215" s="212">
        <f>C212+C213+C214</f>
        <v>1</v>
      </c>
      <c r="D215" s="213">
        <f t="shared" ref="D215:E215" si="7">D212+D213+D214</f>
        <v>1</v>
      </c>
      <c r="E215" s="323">
        <f t="shared" si="7"/>
        <v>1</v>
      </c>
      <c r="F215" s="127"/>
      <c r="G215" s="111"/>
      <c r="H215" s="206"/>
      <c r="I215"/>
      <c r="J215"/>
      <c r="K215"/>
    </row>
    <row r="216" spans="1:11" ht="11.25" thickTop="1" x14ac:dyDescent="0.15">
      <c r="A216" s="343"/>
      <c r="B216" s="344"/>
      <c r="C216" s="345"/>
      <c r="D216" s="346"/>
      <c r="E216" s="347"/>
      <c r="F216" s="127"/>
      <c r="G216" s="111"/>
      <c r="H216" s="206"/>
      <c r="I216"/>
      <c r="J216"/>
      <c r="K216"/>
    </row>
    <row r="217" spans="1:11" x14ac:dyDescent="0.15">
      <c r="A217"/>
      <c r="B217"/>
      <c r="C217"/>
      <c r="D217"/>
      <c r="E217"/>
      <c r="F217" s="204"/>
      <c r="G217" s="206"/>
      <c r="H217" s="206"/>
      <c r="I217"/>
      <c r="J217"/>
      <c r="K217"/>
    </row>
    <row r="218" spans="1:11" x14ac:dyDescent="0.15">
      <c r="A218"/>
      <c r="B218"/>
      <c r="C218"/>
      <c r="D218"/>
      <c r="E218"/>
      <c r="I218"/>
      <c r="J218"/>
      <c r="K218"/>
    </row>
    <row r="219" spans="1:11" x14ac:dyDescent="0.15">
      <c r="A219" s="151" t="s">
        <v>92</v>
      </c>
      <c r="B219" s="84"/>
    </row>
    <row r="220" spans="1:11" x14ac:dyDescent="0.15">
      <c r="A220" s="151"/>
      <c r="B220" s="84"/>
    </row>
    <row r="221" spans="1:11" x14ac:dyDescent="0.15">
      <c r="A221" s="169" t="s">
        <v>93</v>
      </c>
      <c r="B221" s="84"/>
    </row>
    <row r="222" spans="1:11" x14ac:dyDescent="0.15">
      <c r="A222" s="111"/>
      <c r="B222" s="111"/>
      <c r="C222" s="111"/>
      <c r="D222" s="111"/>
      <c r="E222" s="111"/>
    </row>
    <row r="223" spans="1:11" x14ac:dyDescent="0.15">
      <c r="A223" s="267" t="s">
        <v>152</v>
      </c>
      <c r="B223" s="268"/>
      <c r="C223" s="269"/>
      <c r="D223" s="270"/>
      <c r="E223" s="127"/>
    </row>
    <row r="224" spans="1:11" x14ac:dyDescent="0.15">
      <c r="A224" s="289" t="s">
        <v>153</v>
      </c>
      <c r="B224" s="290"/>
      <c r="C224" s="291"/>
      <c r="D224" s="331"/>
      <c r="E224" s="127"/>
    </row>
    <row r="225" spans="1:8" ht="21" x14ac:dyDescent="0.15">
      <c r="A225" s="348" t="s">
        <v>94</v>
      </c>
      <c r="B225" s="349">
        <f>E12</f>
        <v>2012</v>
      </c>
      <c r="C225" s="319"/>
      <c r="D225" s="350" t="s">
        <v>95</v>
      </c>
      <c r="E225" s="226"/>
      <c r="F225" s="227"/>
      <c r="H225" s="228"/>
    </row>
    <row r="226" spans="1:8" x14ac:dyDescent="0.15">
      <c r="A226" s="313"/>
      <c r="B226" s="242"/>
      <c r="C226" s="243"/>
      <c r="D226" s="351">
        <f>D12</f>
        <v>2013</v>
      </c>
      <c r="E226" s="229"/>
      <c r="F226" s="149"/>
      <c r="H226" s="149"/>
    </row>
    <row r="227" spans="1:8" x14ac:dyDescent="0.15">
      <c r="A227" s="318" t="str">
        <f t="shared" ref="A227:A236" si="8">A177</f>
        <v>Net sales</v>
      </c>
      <c r="B227" s="338"/>
      <c r="C227" s="319"/>
      <c r="D227" s="352">
        <f>D47/E47-1</f>
        <v>5.0420168067226934E-2</v>
      </c>
      <c r="E227" s="231"/>
      <c r="F227" s="111"/>
      <c r="H227" s="214"/>
    </row>
    <row r="228" spans="1:8" x14ac:dyDescent="0.15">
      <c r="A228" s="274" t="str">
        <f t="shared" si="8"/>
        <v>Costs of goods sold except depreciation</v>
      </c>
      <c r="B228" s="222"/>
      <c r="C228" s="211"/>
      <c r="D228" s="353">
        <f>D48/E48-1</f>
        <v>6.7415730337078594E-2</v>
      </c>
      <c r="E228" s="231"/>
      <c r="F228" s="111"/>
      <c r="H228" s="214"/>
    </row>
    <row r="229" spans="1:8" x14ac:dyDescent="0.15">
      <c r="A229" s="274" t="str">
        <f t="shared" si="8"/>
        <v>Depreciation</v>
      </c>
      <c r="B229" s="222"/>
      <c r="C229" s="211"/>
      <c r="D229" s="353">
        <f>D49/E49-1</f>
        <v>0.17647058823529416</v>
      </c>
      <c r="E229" s="231"/>
      <c r="F229" s="232"/>
      <c r="H229" s="214"/>
    </row>
    <row r="230" spans="1:8" x14ac:dyDescent="0.15">
      <c r="A230" s="274" t="str">
        <f t="shared" si="8"/>
        <v>Other operating expenses</v>
      </c>
      <c r="B230" s="222"/>
      <c r="C230" s="211"/>
      <c r="D230" s="354">
        <f>D50/E50-1</f>
        <v>4.1666666666666741E-2</v>
      </c>
      <c r="E230" s="231"/>
      <c r="F230" s="234"/>
      <c r="H230" s="214"/>
    </row>
    <row r="231" spans="1:8" x14ac:dyDescent="0.15">
      <c r="A231" s="278" t="str">
        <f t="shared" si="8"/>
        <v>Earnings before interest and taxes (EBIT)</v>
      </c>
      <c r="B231" s="222"/>
      <c r="C231" s="211"/>
      <c r="D231" s="353">
        <f t="shared" ref="D231:D237" si="9">D51/E51-1</f>
        <v>-9.0909090909090939E-2</v>
      </c>
      <c r="E231" s="231"/>
      <c r="F231" s="234"/>
      <c r="H231" s="214"/>
    </row>
    <row r="232" spans="1:8" x14ac:dyDescent="0.15">
      <c r="A232" s="274" t="str">
        <f t="shared" si="8"/>
        <v xml:space="preserve">Less interest </v>
      </c>
      <c r="B232" s="222"/>
      <c r="C232" s="211"/>
      <c r="D232" s="354">
        <f t="shared" si="9"/>
        <v>0.19999999999999996</v>
      </c>
      <c r="E232" s="231"/>
      <c r="F232" s="111"/>
      <c r="H232" s="214"/>
    </row>
    <row r="233" spans="1:8" x14ac:dyDescent="0.15">
      <c r="A233" s="278" t="str">
        <f t="shared" si="8"/>
        <v>Pre-tax earnings</v>
      </c>
      <c r="B233" s="222"/>
      <c r="C233" s="211"/>
      <c r="D233" s="353">
        <f t="shared" si="9"/>
        <v>-0.15555555555555556</v>
      </c>
      <c r="E233" s="231"/>
      <c r="F233" s="111"/>
      <c r="H233" s="214"/>
    </row>
    <row r="234" spans="1:8" x14ac:dyDescent="0.15">
      <c r="A234" s="274" t="str">
        <f t="shared" si="8"/>
        <v>Taxes (40%)</v>
      </c>
      <c r="B234" s="222"/>
      <c r="C234" s="211"/>
      <c r="D234" s="354">
        <f t="shared" si="9"/>
        <v>-0.15555555555555556</v>
      </c>
      <c r="E234" s="231"/>
      <c r="F234" s="111"/>
      <c r="H234" s="214"/>
    </row>
    <row r="235" spans="1:8" x14ac:dyDescent="0.15">
      <c r="A235" s="278" t="str">
        <f t="shared" si="8"/>
        <v>Net Income before preferred dividends</v>
      </c>
      <c r="B235" s="222"/>
      <c r="C235" s="211"/>
      <c r="D235" s="353">
        <f t="shared" si="9"/>
        <v>-0.15555555555555556</v>
      </c>
      <c r="E235" s="231"/>
      <c r="F235" s="111"/>
      <c r="H235" s="214"/>
    </row>
    <row r="236" spans="1:8" x14ac:dyDescent="0.15">
      <c r="A236" s="274" t="str">
        <f t="shared" si="8"/>
        <v>Preferred dividends</v>
      </c>
      <c r="B236" s="222"/>
      <c r="C236" s="211"/>
      <c r="D236" s="354">
        <f t="shared" si="9"/>
        <v>0</v>
      </c>
      <c r="E236" s="231"/>
      <c r="F236" s="111"/>
      <c r="H236" s="214"/>
    </row>
    <row r="237" spans="1:8" ht="11.25" thickBot="1" x14ac:dyDescent="0.2">
      <c r="A237" s="274" t="s">
        <v>98</v>
      </c>
      <c r="B237" s="222"/>
      <c r="C237" s="211"/>
      <c r="D237" s="353">
        <f t="shared" si="9"/>
        <v>-0.16030534351145043</v>
      </c>
      <c r="E237" s="231"/>
      <c r="F237" s="111"/>
      <c r="H237" s="214"/>
    </row>
    <row r="238" spans="1:8" ht="11.25" thickTop="1" x14ac:dyDescent="0.15">
      <c r="A238" s="313"/>
      <c r="B238" s="243"/>
      <c r="C238" s="243"/>
      <c r="D238" s="355"/>
      <c r="E238" s="127"/>
      <c r="F238" s="111"/>
    </row>
    <row r="239" spans="1:8" x14ac:dyDescent="0.15">
      <c r="A239" s="127"/>
      <c r="B239" s="127"/>
      <c r="C239" s="127"/>
      <c r="D239" s="127"/>
      <c r="E239" s="127"/>
      <c r="F239" s="111"/>
    </row>
    <row r="240" spans="1:8" x14ac:dyDescent="0.15">
      <c r="A240" s="111"/>
      <c r="B240" s="111"/>
      <c r="C240" s="111"/>
      <c r="D240" s="111"/>
      <c r="E240" s="111"/>
      <c r="F240" s="111"/>
    </row>
    <row r="241" spans="1:8" ht="11.25" thickBot="1" x14ac:dyDescent="0.2">
      <c r="A241" s="111"/>
      <c r="B241" s="111"/>
      <c r="C241" s="111"/>
      <c r="D241" s="111"/>
      <c r="E241" s="111"/>
    </row>
    <row r="242" spans="1:8" ht="11.25" thickBot="1" x14ac:dyDescent="0.2">
      <c r="A242" s="235" t="s">
        <v>155</v>
      </c>
      <c r="B242" s="236"/>
      <c r="C242" s="236"/>
      <c r="D242" s="237"/>
      <c r="E242" s="111"/>
    </row>
    <row r="243" spans="1:8" ht="21" x14ac:dyDescent="0.15">
      <c r="A243" s="238" t="s">
        <v>94</v>
      </c>
      <c r="B243" s="239">
        <f>B225</f>
        <v>2012</v>
      </c>
      <c r="C243" s="209"/>
      <c r="D243" s="240" t="s">
        <v>95</v>
      </c>
      <c r="E243" s="111"/>
    </row>
    <row r="244" spans="1:8" x14ac:dyDescent="0.15">
      <c r="A244" s="241"/>
      <c r="B244" s="242"/>
      <c r="C244" s="243"/>
      <c r="D244" s="244">
        <f>D226</f>
        <v>2013</v>
      </c>
      <c r="E244" s="111"/>
    </row>
    <row r="245" spans="1:8" x14ac:dyDescent="0.15">
      <c r="A245" s="123" t="str">
        <f>A197</f>
        <v>Assets</v>
      </c>
      <c r="B245" s="222"/>
      <c r="C245" s="211"/>
      <c r="D245" s="223"/>
      <c r="E245" s="149"/>
      <c r="F245" s="149"/>
      <c r="H245" s="149"/>
    </row>
    <row r="246" spans="1:8" x14ac:dyDescent="0.15">
      <c r="A246" s="131" t="str">
        <f t="shared" ref="A246:A252" si="10">A25</f>
        <v>Cash and equivalents</v>
      </c>
      <c r="B246" s="222"/>
      <c r="C246" s="211"/>
      <c r="D246" s="230">
        <f>D25/E25-1</f>
        <v>-0.16666666666666663</v>
      </c>
      <c r="E246" s="227"/>
      <c r="F246" s="227"/>
      <c r="H246" s="214"/>
    </row>
    <row r="247" spans="1:8" x14ac:dyDescent="0.15">
      <c r="A247" s="131" t="str">
        <f t="shared" si="10"/>
        <v>Short-term investments</v>
      </c>
      <c r="B247" s="222"/>
      <c r="C247" s="211"/>
      <c r="D247" s="230">
        <f t="shared" ref="D247:D252" si="11">D26/E26-1</f>
        <v>-1</v>
      </c>
      <c r="E247" s="227"/>
      <c r="F247" s="227"/>
      <c r="H247" s="214"/>
    </row>
    <row r="248" spans="1:8" x14ac:dyDescent="0.15">
      <c r="A248" s="131" t="str">
        <f t="shared" si="10"/>
        <v>Accounts receivable</v>
      </c>
      <c r="B248" s="222"/>
      <c r="C248" s="211"/>
      <c r="D248" s="230">
        <f t="shared" si="11"/>
        <v>0.31578947368421062</v>
      </c>
      <c r="E248" s="227"/>
      <c r="F248" s="227"/>
      <c r="H248" s="214"/>
    </row>
    <row r="249" spans="1:8" x14ac:dyDescent="0.15">
      <c r="A249" s="131" t="str">
        <f t="shared" si="10"/>
        <v>Inventories</v>
      </c>
      <c r="B249" s="222"/>
      <c r="C249" s="211"/>
      <c r="D249" s="233">
        <f t="shared" si="11"/>
        <v>0.21951219512195119</v>
      </c>
      <c r="E249" s="227"/>
      <c r="F249" s="227"/>
      <c r="H249" s="214"/>
    </row>
    <row r="250" spans="1:8" x14ac:dyDescent="0.15">
      <c r="A250" s="137" t="str">
        <f t="shared" si="10"/>
        <v>Total current assets</v>
      </c>
      <c r="B250" s="222"/>
      <c r="C250" s="211"/>
      <c r="D250" s="230">
        <f t="shared" si="11"/>
        <v>0.19230769230769229</v>
      </c>
      <c r="E250" s="227"/>
      <c r="F250" s="227"/>
      <c r="H250" s="214"/>
    </row>
    <row r="251" spans="1:8" x14ac:dyDescent="0.15">
      <c r="A251" s="131" t="str">
        <f t="shared" si="10"/>
        <v>Net plant and equipment</v>
      </c>
      <c r="B251" s="222"/>
      <c r="C251" s="211"/>
      <c r="D251" s="233">
        <f t="shared" si="11"/>
        <v>0.17647058823529416</v>
      </c>
      <c r="E251" s="227"/>
      <c r="F251" s="227"/>
      <c r="H251" s="214"/>
    </row>
    <row r="252" spans="1:8" ht="11.25" thickBot="1" x14ac:dyDescent="0.2">
      <c r="A252" s="139" t="str">
        <f t="shared" si="10"/>
        <v>Total assets</v>
      </c>
      <c r="B252" s="222"/>
      <c r="C252" s="211"/>
      <c r="D252" s="245">
        <f t="shared" si="11"/>
        <v>0.18333333333333335</v>
      </c>
      <c r="E252" s="227"/>
      <c r="F252" s="227"/>
      <c r="H252" s="214"/>
    </row>
    <row r="253" spans="1:8" ht="11.25" thickTop="1" x14ac:dyDescent="0.15">
      <c r="A253" s="219"/>
      <c r="B253" s="222"/>
      <c r="C253" s="211"/>
      <c r="D253" s="230"/>
      <c r="E253" s="227"/>
      <c r="F253" s="227"/>
      <c r="H253" s="214"/>
    </row>
    <row r="254" spans="1:8" x14ac:dyDescent="0.15">
      <c r="A254" s="123" t="str">
        <f t="shared" ref="A254:A265" si="12">A33</f>
        <v>Liabilities and Equity</v>
      </c>
      <c r="B254" s="222"/>
      <c r="C254" s="211"/>
      <c r="D254" s="230"/>
      <c r="E254" s="227"/>
      <c r="F254" s="227"/>
      <c r="H254" s="214"/>
    </row>
    <row r="255" spans="1:8" x14ac:dyDescent="0.15">
      <c r="A255" s="131" t="str">
        <f t="shared" si="12"/>
        <v>Accounts payable</v>
      </c>
      <c r="B255" s="222"/>
      <c r="C255" s="211"/>
      <c r="D255" s="230">
        <f t="shared" ref="D255:D265" si="13">D34/E34-1</f>
        <v>5.2631578947368363E-2</v>
      </c>
      <c r="E255" s="227"/>
      <c r="F255" s="227"/>
      <c r="H255" s="214"/>
    </row>
    <row r="256" spans="1:8" x14ac:dyDescent="0.15">
      <c r="A256" s="131" t="str">
        <f t="shared" si="12"/>
        <v>Notes payable</v>
      </c>
      <c r="B256" s="222"/>
      <c r="C256" s="211"/>
      <c r="D256" s="230">
        <f t="shared" si="13"/>
        <v>1.1538461538461537</v>
      </c>
      <c r="E256" s="227"/>
      <c r="F256" s="227"/>
      <c r="H256" s="214"/>
    </row>
    <row r="257" spans="1:8" x14ac:dyDescent="0.15">
      <c r="A257" s="131" t="str">
        <f t="shared" si="12"/>
        <v>Accruals</v>
      </c>
      <c r="B257" s="222"/>
      <c r="C257" s="211"/>
      <c r="D257" s="233">
        <f t="shared" si="13"/>
        <v>7.1428571428571397E-2</v>
      </c>
      <c r="E257" s="227"/>
      <c r="F257" s="227"/>
      <c r="H257" s="214"/>
    </row>
    <row r="258" spans="1:8" x14ac:dyDescent="0.15">
      <c r="A258" s="137" t="str">
        <f t="shared" si="12"/>
        <v>Total current liabilities</v>
      </c>
      <c r="B258" s="222"/>
      <c r="C258" s="211"/>
      <c r="D258" s="230">
        <f t="shared" si="13"/>
        <v>0.30000000000000004</v>
      </c>
      <c r="E258" s="227"/>
      <c r="F258" s="227"/>
      <c r="H258" s="214"/>
    </row>
    <row r="259" spans="1:8" x14ac:dyDescent="0.15">
      <c r="A259" s="131" t="str">
        <f t="shared" si="12"/>
        <v>Long-term bonds</v>
      </c>
      <c r="B259" s="222"/>
      <c r="C259" s="211"/>
      <c r="D259" s="233">
        <f t="shared" si="13"/>
        <v>0.19999999999999996</v>
      </c>
      <c r="E259" s="227"/>
      <c r="F259" s="227"/>
      <c r="H259" s="214"/>
    </row>
    <row r="260" spans="1:8" x14ac:dyDescent="0.15">
      <c r="A260" s="137" t="str">
        <f t="shared" si="12"/>
        <v>Total liabilities</v>
      </c>
      <c r="B260" s="222"/>
      <c r="C260" s="211"/>
      <c r="D260" s="230">
        <f t="shared" si="13"/>
        <v>0.23750000000000004</v>
      </c>
      <c r="E260" s="227"/>
      <c r="F260" s="227"/>
      <c r="H260" s="214"/>
    </row>
    <row r="261" spans="1:8" x14ac:dyDescent="0.15">
      <c r="A261" s="131" t="str">
        <f t="shared" si="12"/>
        <v>Preferred stock (400,000 shares)</v>
      </c>
      <c r="B261" s="222"/>
      <c r="C261" s="211"/>
      <c r="D261" s="230">
        <f t="shared" si="13"/>
        <v>0</v>
      </c>
      <c r="E261" s="227"/>
      <c r="F261" s="227"/>
      <c r="H261" s="214"/>
    </row>
    <row r="262" spans="1:8" x14ac:dyDescent="0.15">
      <c r="A262" s="131" t="str">
        <f t="shared" si="12"/>
        <v>Common stock (50,000,000 shares)</v>
      </c>
      <c r="B262" s="222"/>
      <c r="C262" s="211"/>
      <c r="D262" s="230">
        <f t="shared" si="13"/>
        <v>0</v>
      </c>
      <c r="E262" s="227"/>
      <c r="F262" s="227"/>
      <c r="H262" s="214"/>
    </row>
    <row r="263" spans="1:8" x14ac:dyDescent="0.15">
      <c r="A263" s="131" t="str">
        <f t="shared" si="12"/>
        <v>Retained earnings</v>
      </c>
      <c r="B263" s="222"/>
      <c r="C263" s="211"/>
      <c r="D263" s="233">
        <f t="shared" si="13"/>
        <v>0.21249999999999991</v>
      </c>
      <c r="E263" s="227"/>
      <c r="F263" s="227"/>
      <c r="H263" s="214"/>
    </row>
    <row r="264" spans="1:8" x14ac:dyDescent="0.15">
      <c r="A264" s="137" t="str">
        <f t="shared" si="12"/>
        <v>Total common equity</v>
      </c>
      <c r="B264" s="222"/>
      <c r="C264" s="211"/>
      <c r="D264" s="230">
        <f t="shared" si="13"/>
        <v>0.13076923076923075</v>
      </c>
      <c r="E264" s="227"/>
      <c r="F264" s="227"/>
      <c r="H264" s="214"/>
    </row>
    <row r="265" spans="1:8" ht="11.25" thickBot="1" x14ac:dyDescent="0.2">
      <c r="A265" s="131" t="str">
        <f t="shared" si="12"/>
        <v>Total liabilities and equity</v>
      </c>
      <c r="B265" s="222"/>
      <c r="C265" s="211"/>
      <c r="D265" s="246">
        <f t="shared" si="13"/>
        <v>0.18333333333333335</v>
      </c>
      <c r="E265" s="227"/>
      <c r="F265" s="227"/>
      <c r="H265" s="214"/>
    </row>
    <row r="266" spans="1:8" ht="12" thickTop="1" thickBot="1" x14ac:dyDescent="0.2">
      <c r="A266" s="207"/>
      <c r="B266" s="221"/>
      <c r="C266" s="208"/>
      <c r="D266" s="247"/>
      <c r="E266" s="227"/>
      <c r="F266" s="227"/>
      <c r="H266" s="206"/>
    </row>
    <row r="267" spans="1:8" x14ac:dyDescent="0.15">
      <c r="B267" s="84"/>
    </row>
    <row r="268" spans="1:8" x14ac:dyDescent="0.15">
      <c r="A268" s="151" t="s">
        <v>192</v>
      </c>
      <c r="C268" s="172"/>
      <c r="D268" s="172"/>
      <c r="E268" s="169"/>
    </row>
    <row r="269" spans="1:8" ht="21" x14ac:dyDescent="0.15">
      <c r="A269" s="248"/>
      <c r="C269" s="249" t="s">
        <v>37</v>
      </c>
      <c r="D269" s="250" t="s">
        <v>156</v>
      </c>
      <c r="E269" s="250" t="s">
        <v>157</v>
      </c>
      <c r="F269" s="250" t="s">
        <v>97</v>
      </c>
    </row>
    <row r="270" spans="1:8" x14ac:dyDescent="0.15">
      <c r="A270" s="251" t="s">
        <v>47</v>
      </c>
      <c r="B270" s="99">
        <f>D12</f>
        <v>2013</v>
      </c>
      <c r="C270" s="252">
        <f>D270*E270*F270</f>
        <v>0.1496598639455782</v>
      </c>
      <c r="D270" s="253">
        <f>D113</f>
        <v>4.3999999999999997E-2</v>
      </c>
      <c r="E270" s="254">
        <f>D95</f>
        <v>1.408450704225352</v>
      </c>
      <c r="F270" s="255">
        <f>D31/D43</f>
        <v>2.4149659863945576</v>
      </c>
    </row>
    <row r="271" spans="1:8" x14ac:dyDescent="0.15">
      <c r="A271" s="251" t="s">
        <v>48</v>
      </c>
      <c r="B271" s="99">
        <f>E12</f>
        <v>2012</v>
      </c>
      <c r="C271" s="256">
        <f>D271*E271*F271</f>
        <v>0.20153846153846153</v>
      </c>
      <c r="D271" s="253">
        <f>E113</f>
        <v>5.5042016806722688E-2</v>
      </c>
      <c r="E271" s="254">
        <f>E95</f>
        <v>1.5866666666666667</v>
      </c>
      <c r="F271" s="255">
        <f>E31/E43</f>
        <v>2.3076923076923075</v>
      </c>
    </row>
    <row r="272" spans="1:8" x14ac:dyDescent="0.15">
      <c r="A272" s="257" t="s">
        <v>26</v>
      </c>
      <c r="C272" s="258">
        <f>D272*E272*F272</f>
        <v>0.2029090909090909</v>
      </c>
      <c r="D272" s="259">
        <f>F113</f>
        <v>6.2E-2</v>
      </c>
      <c r="E272" s="260">
        <f>F95</f>
        <v>1.8</v>
      </c>
      <c r="F272" s="261">
        <f>1/(1-F106)</f>
        <v>1.8181818181818181</v>
      </c>
    </row>
    <row r="274" spans="1:6" x14ac:dyDescent="0.15">
      <c r="A274" s="84" t="s">
        <v>186</v>
      </c>
    </row>
    <row r="275" spans="1:6" x14ac:dyDescent="0.15">
      <c r="B275" s="84"/>
    </row>
    <row r="276" spans="1:6" x14ac:dyDescent="0.15">
      <c r="B276" s="165" t="s">
        <v>185</v>
      </c>
      <c r="C276" s="84">
        <v>1.8</v>
      </c>
    </row>
    <row r="277" spans="1:6" x14ac:dyDescent="0.15">
      <c r="B277" s="84"/>
    </row>
    <row r="278" spans="1:6" ht="21.75" thickBot="1" x14ac:dyDescent="0.2">
      <c r="B278" s="84"/>
      <c r="C278" s="249" t="s">
        <v>37</v>
      </c>
      <c r="D278" s="250" t="s">
        <v>156</v>
      </c>
      <c r="E278" s="250" t="s">
        <v>157</v>
      </c>
      <c r="F278" s="250" t="s">
        <v>97</v>
      </c>
    </row>
    <row r="279" spans="1:6" ht="11.25" thickBot="1" x14ac:dyDescent="0.2">
      <c r="B279" s="84"/>
      <c r="C279" s="262">
        <f>D279*E279*F279</f>
        <v>0.19126530612244894</v>
      </c>
      <c r="D279" s="253">
        <f>D270</f>
        <v>4.3999999999999997E-2</v>
      </c>
      <c r="E279" s="254">
        <f>C276</f>
        <v>1.8</v>
      </c>
      <c r="F279" s="255">
        <f>F270</f>
        <v>2.4149659863945576</v>
      </c>
    </row>
    <row r="280" spans="1:6" x14ac:dyDescent="0.15">
      <c r="B280" s="84"/>
    </row>
    <row r="281" spans="1:6" x14ac:dyDescent="0.15">
      <c r="B281" s="84"/>
    </row>
    <row r="283" spans="1:6" x14ac:dyDescent="0.15">
      <c r="B283" s="84"/>
    </row>
    <row r="284" spans="1:6" x14ac:dyDescent="0.15">
      <c r="B284" s="84"/>
    </row>
  </sheetData>
  <mergeCells count="11">
    <mergeCell ref="A123:B123"/>
    <mergeCell ref="D195:E195"/>
    <mergeCell ref="A131:H131"/>
    <mergeCell ref="C133:D133"/>
    <mergeCell ref="A129:H129"/>
    <mergeCell ref="E175:F175"/>
    <mergeCell ref="A5:F7"/>
    <mergeCell ref="A74:C74"/>
    <mergeCell ref="A90:B90"/>
    <mergeCell ref="A108:B108"/>
    <mergeCell ref="A122:B122"/>
  </mergeCells>
  <phoneticPr fontId="0" type="noConversion"/>
  <printOptions headings="1" gridLines="1"/>
  <pageMargins left="1" right="1.5" top="1" bottom="2" header="0.5" footer="0.5"/>
  <pageSetup fitToWidth="2" orientation="portrait" horizontalDpi="1200" verticalDpi="1200" r:id="rId1"/>
  <headerFooter alignWithMargins="0"/>
  <rowBreaks count="3" manualBreakCount="3">
    <brk id="64" max="6" man="1"/>
    <brk id="169" max="6" man="1"/>
    <brk id="220"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O5" sqref="O5"/>
    </sheetView>
  </sheetViews>
  <sheetFormatPr defaultRowHeight="10.5" x14ac:dyDescent="0.15"/>
  <cols>
    <col min="1" max="1" width="15.5" customWidth="1"/>
    <col min="2" max="2" width="15.33203125" customWidth="1"/>
    <col min="3" max="3" width="16.83203125" customWidth="1"/>
  </cols>
  <sheetData>
    <row r="1" spans="1:8" ht="16.5" x14ac:dyDescent="0.25">
      <c r="A1" s="1" t="s">
        <v>193</v>
      </c>
    </row>
    <row r="2" spans="1:8" ht="12.75" x14ac:dyDescent="0.2">
      <c r="A2" s="2" t="s">
        <v>56</v>
      </c>
    </row>
    <row r="4" spans="1:8" ht="43.9" customHeight="1" x14ac:dyDescent="0.2">
      <c r="A4" s="364" t="s">
        <v>99</v>
      </c>
      <c r="B4" s="364"/>
      <c r="C4" s="364"/>
      <c r="D4" s="364"/>
      <c r="E4" s="364"/>
      <c r="F4" s="364"/>
      <c r="G4" s="364"/>
      <c r="H4" s="364"/>
    </row>
    <row r="6" spans="1:8" ht="12.75" x14ac:dyDescent="0.2">
      <c r="A6" s="3" t="s">
        <v>51</v>
      </c>
      <c r="C6" s="4">
        <v>800</v>
      </c>
    </row>
    <row r="7" spans="1:8" ht="12.75" x14ac:dyDescent="0.2">
      <c r="A7" s="3" t="s">
        <v>52</v>
      </c>
      <c r="C7" s="5">
        <v>2.5</v>
      </c>
    </row>
    <row r="8" spans="1:8" ht="11.25" thickBot="1" x14ac:dyDescent="0.2"/>
    <row r="9" spans="1:8" ht="13.5" thickBot="1" x14ac:dyDescent="0.25">
      <c r="A9" s="6" t="s">
        <v>53</v>
      </c>
      <c r="B9" s="7"/>
      <c r="C9" s="8">
        <f>C6*C7</f>
        <v>2000</v>
      </c>
    </row>
    <row r="12" spans="1:8" ht="12.75" x14ac:dyDescent="0.2">
      <c r="A12" s="3" t="s">
        <v>51</v>
      </c>
      <c r="C12" s="4">
        <f>C6</f>
        <v>800</v>
      </c>
    </row>
    <row r="13" spans="1:8" ht="12.75" x14ac:dyDescent="0.2">
      <c r="A13" s="3" t="s">
        <v>52</v>
      </c>
      <c r="C13" s="5">
        <f>C7</f>
        <v>2.5</v>
      </c>
    </row>
    <row r="14" spans="1:8" ht="12.75" x14ac:dyDescent="0.2">
      <c r="A14" s="3" t="s">
        <v>54</v>
      </c>
      <c r="C14" s="5">
        <v>2</v>
      </c>
    </row>
    <row r="16" spans="1:8" ht="13.5" thickBot="1" x14ac:dyDescent="0.25">
      <c r="A16" s="3" t="s">
        <v>116</v>
      </c>
      <c r="C16" s="4">
        <f>C12*C14</f>
        <v>1600</v>
      </c>
    </row>
    <row r="17" spans="1:3" ht="13.5" thickBot="1" x14ac:dyDescent="0.25">
      <c r="A17" s="6" t="s">
        <v>55</v>
      </c>
      <c r="B17" s="7"/>
      <c r="C17" s="8">
        <f>C9-C16</f>
        <v>400</v>
      </c>
    </row>
  </sheetData>
  <mergeCells count="1">
    <mergeCell ref="A4:H4"/>
  </mergeCells>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0.5" x14ac:dyDescent="0.15"/>
  <cols>
    <col min="1" max="1" width="20.1640625" customWidth="1"/>
    <col min="2" max="2" width="15" customWidth="1"/>
    <col min="3" max="3" width="14.1640625" customWidth="1"/>
  </cols>
  <sheetData>
    <row r="1" spans="1:8" ht="16.5" x14ac:dyDescent="0.25">
      <c r="A1" s="1" t="s">
        <v>193</v>
      </c>
    </row>
    <row r="2" spans="1:8" ht="12.75" x14ac:dyDescent="0.2">
      <c r="A2" s="2" t="s">
        <v>50</v>
      </c>
    </row>
    <row r="4" spans="1:8" ht="27" customHeight="1" x14ac:dyDescent="0.2">
      <c r="A4" s="364" t="s">
        <v>128</v>
      </c>
      <c r="B4" s="364"/>
      <c r="C4" s="364"/>
      <c r="D4" s="364"/>
      <c r="E4" s="364"/>
      <c r="F4" s="364"/>
      <c r="G4" s="364"/>
      <c r="H4" s="364"/>
    </row>
    <row r="6" spans="1:8" ht="12.75" x14ac:dyDescent="0.2">
      <c r="A6" s="3" t="s">
        <v>57</v>
      </c>
      <c r="C6" s="4">
        <v>200</v>
      </c>
    </row>
    <row r="7" spans="1:8" ht="12.75" x14ac:dyDescent="0.2">
      <c r="A7" s="3" t="s">
        <v>129</v>
      </c>
      <c r="C7" s="4">
        <v>180</v>
      </c>
    </row>
    <row r="8" spans="1:8" ht="12.75" x14ac:dyDescent="0.2">
      <c r="A8" s="3" t="s">
        <v>58</v>
      </c>
      <c r="C8" s="4">
        <v>40</v>
      </c>
    </row>
    <row r="9" spans="1:8" ht="12.75" x14ac:dyDescent="0.2">
      <c r="A9" s="3" t="s">
        <v>59</v>
      </c>
      <c r="C9" s="4">
        <v>60</v>
      </c>
    </row>
    <row r="10" spans="1:8" ht="11.25" thickBot="1" x14ac:dyDescent="0.2"/>
    <row r="11" spans="1:8" ht="13.5" thickBot="1" x14ac:dyDescent="0.25">
      <c r="A11" s="6" t="s">
        <v>60</v>
      </c>
      <c r="B11" s="7"/>
      <c r="C11" s="9">
        <f>C7/C8</f>
        <v>4.5</v>
      </c>
    </row>
    <row r="14" spans="1:8" ht="12.75" x14ac:dyDescent="0.2">
      <c r="A14" s="3" t="s">
        <v>57</v>
      </c>
      <c r="C14" s="4">
        <f>C6</f>
        <v>200</v>
      </c>
    </row>
    <row r="15" spans="1:8" ht="12.75" x14ac:dyDescent="0.2">
      <c r="A15" s="3" t="s">
        <v>58</v>
      </c>
      <c r="C15" s="4">
        <f>C8</f>
        <v>40</v>
      </c>
    </row>
    <row r="16" spans="1:8" ht="12.75" x14ac:dyDescent="0.2">
      <c r="A16" s="3" t="s">
        <v>59</v>
      </c>
      <c r="C16" s="4">
        <f>C9</f>
        <v>60</v>
      </c>
    </row>
    <row r="17" spans="1:3" ht="11.25" thickBot="1" x14ac:dyDescent="0.2"/>
    <row r="18" spans="1:3" ht="13.5" thickBot="1" x14ac:dyDescent="0.25">
      <c r="A18" s="6" t="s">
        <v>61</v>
      </c>
      <c r="B18" s="7"/>
      <c r="C18" s="9">
        <f>C16/(C14/365)</f>
        <v>109.5</v>
      </c>
    </row>
  </sheetData>
  <mergeCells count="1">
    <mergeCell ref="A4:H4"/>
  </mergeCells>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2" sqref="A2"/>
    </sheetView>
  </sheetViews>
  <sheetFormatPr defaultRowHeight="10.5" x14ac:dyDescent="0.15"/>
  <cols>
    <col min="1" max="1" width="13.5" customWidth="1"/>
    <col min="2" max="2" width="13" customWidth="1"/>
    <col min="3" max="3" width="14.5" customWidth="1"/>
  </cols>
  <sheetData>
    <row r="1" spans="1:8" ht="16.5" x14ac:dyDescent="0.25">
      <c r="A1" s="1" t="s">
        <v>194</v>
      </c>
    </row>
    <row r="2" spans="1:8" ht="12.75" x14ac:dyDescent="0.2">
      <c r="A2" s="2" t="s">
        <v>56</v>
      </c>
    </row>
    <row r="4" spans="1:8" ht="41.25" customHeight="1" x14ac:dyDescent="0.2">
      <c r="A4" s="364" t="s">
        <v>100</v>
      </c>
      <c r="B4" s="364"/>
      <c r="C4" s="364"/>
      <c r="D4" s="364"/>
      <c r="E4" s="364"/>
      <c r="F4" s="364"/>
      <c r="G4" s="364"/>
      <c r="H4" s="364"/>
    </row>
    <row r="6" spans="1:8" ht="12.75" x14ac:dyDescent="0.2">
      <c r="A6" s="3" t="s">
        <v>62</v>
      </c>
      <c r="C6" s="4">
        <v>600</v>
      </c>
    </row>
    <row r="7" spans="1:8" ht="12.75" x14ac:dyDescent="0.2">
      <c r="A7" s="3" t="s">
        <v>63</v>
      </c>
      <c r="C7" s="4">
        <v>60</v>
      </c>
    </row>
    <row r="8" spans="1:8" ht="12.75" x14ac:dyDescent="0.2">
      <c r="A8" s="3" t="s">
        <v>38</v>
      </c>
      <c r="C8" s="4">
        <v>40</v>
      </c>
    </row>
    <row r="9" spans="1:8" ht="12.75" x14ac:dyDescent="0.2">
      <c r="A9" s="3" t="s">
        <v>64</v>
      </c>
      <c r="C9" s="4">
        <v>30</v>
      </c>
    </row>
    <row r="10" spans="1:8" ht="11.25" thickBot="1" x14ac:dyDescent="0.2"/>
    <row r="11" spans="1:8" ht="13.5" thickBot="1" x14ac:dyDescent="0.25">
      <c r="A11" s="6" t="s">
        <v>65</v>
      </c>
      <c r="B11" s="7"/>
      <c r="C11" s="9">
        <f>(C6+C8)/(C7+C8+C9)</f>
        <v>4.9230769230769234</v>
      </c>
    </row>
  </sheetData>
  <mergeCells count="1">
    <mergeCell ref="A4:H4"/>
  </mergeCells>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A2" sqref="A2"/>
    </sheetView>
  </sheetViews>
  <sheetFormatPr defaultRowHeight="10.5" x14ac:dyDescent="0.15"/>
  <cols>
    <col min="1" max="1" width="18.5" customWidth="1"/>
    <col min="2" max="2" width="16.83203125" customWidth="1"/>
    <col min="3" max="3" width="14.1640625" customWidth="1"/>
  </cols>
  <sheetData>
    <row r="1" spans="1:8" ht="16.5" x14ac:dyDescent="0.25">
      <c r="A1" s="1" t="s">
        <v>195</v>
      </c>
    </row>
    <row r="2" spans="1:8" ht="12.75" x14ac:dyDescent="0.2">
      <c r="A2" s="2" t="s">
        <v>72</v>
      </c>
    </row>
    <row r="4" spans="1:8" ht="46.5" customHeight="1" x14ac:dyDescent="0.2">
      <c r="A4" s="364" t="s">
        <v>101</v>
      </c>
      <c r="B4" s="364"/>
      <c r="C4" s="364"/>
      <c r="D4" s="364"/>
      <c r="E4" s="364"/>
      <c r="F4" s="364"/>
      <c r="G4" s="364"/>
      <c r="H4" s="364"/>
    </row>
    <row r="6" spans="1:8" ht="12.75" x14ac:dyDescent="0.2">
      <c r="A6" s="3" t="s">
        <v>66</v>
      </c>
      <c r="C6" s="4">
        <v>200</v>
      </c>
    </row>
    <row r="7" spans="1:8" ht="12.75" x14ac:dyDescent="0.2">
      <c r="A7" s="3" t="s">
        <v>67</v>
      </c>
      <c r="C7" s="4">
        <v>10</v>
      </c>
    </row>
    <row r="8" spans="1:8" ht="12.75" x14ac:dyDescent="0.2">
      <c r="A8" s="3" t="s">
        <v>68</v>
      </c>
      <c r="C8" s="4">
        <v>100</v>
      </c>
    </row>
    <row r="9" spans="1:8" ht="12.75" x14ac:dyDescent="0.2">
      <c r="A9" s="3" t="s">
        <v>69</v>
      </c>
      <c r="C9" s="10">
        <v>0.5</v>
      </c>
    </row>
    <row r="10" spans="1:8" ht="11.25" thickBot="1" x14ac:dyDescent="0.2"/>
    <row r="11" spans="1:8" ht="13.5" thickBot="1" x14ac:dyDescent="0.25">
      <c r="A11" s="6" t="s">
        <v>70</v>
      </c>
      <c r="B11" s="7"/>
      <c r="C11" s="11">
        <f>C7/C6</f>
        <v>0.05</v>
      </c>
    </row>
    <row r="13" spans="1:8" ht="12.75" x14ac:dyDescent="0.2">
      <c r="A13" s="364"/>
      <c r="B13" s="364"/>
      <c r="C13" s="364"/>
      <c r="D13" s="364"/>
      <c r="E13" s="364"/>
      <c r="F13" s="364"/>
      <c r="G13" s="364"/>
      <c r="H13" s="364"/>
    </row>
    <row r="15" spans="1:8" ht="12.75" x14ac:dyDescent="0.2">
      <c r="A15" s="3" t="s">
        <v>66</v>
      </c>
      <c r="C15" s="4">
        <f>C6</f>
        <v>200</v>
      </c>
    </row>
    <row r="16" spans="1:8" ht="12.75" x14ac:dyDescent="0.2">
      <c r="A16" s="3" t="s">
        <v>67</v>
      </c>
      <c r="C16" s="4">
        <f>C7</f>
        <v>10</v>
      </c>
    </row>
    <row r="17" spans="1:8" ht="12.75" x14ac:dyDescent="0.2">
      <c r="A17" s="3" t="s">
        <v>68</v>
      </c>
      <c r="C17" s="4">
        <f>C8</f>
        <v>100</v>
      </c>
    </row>
    <row r="18" spans="1:8" ht="12.75" x14ac:dyDescent="0.2">
      <c r="A18" s="3" t="s">
        <v>69</v>
      </c>
      <c r="C18" s="10">
        <f>C9</f>
        <v>0.5</v>
      </c>
    </row>
    <row r="19" spans="1:8" ht="11.25" thickBot="1" x14ac:dyDescent="0.2"/>
    <row r="20" spans="1:8" ht="13.5" thickBot="1" x14ac:dyDescent="0.25">
      <c r="A20" s="6" t="s">
        <v>71</v>
      </c>
      <c r="B20" s="7"/>
      <c r="C20" s="11">
        <f>C16/C17</f>
        <v>0.1</v>
      </c>
    </row>
    <row r="22" spans="1:8" ht="12.75" x14ac:dyDescent="0.2">
      <c r="A22" s="364"/>
      <c r="B22" s="364"/>
      <c r="C22" s="364"/>
      <c r="D22" s="364"/>
      <c r="E22" s="364"/>
      <c r="F22" s="364"/>
      <c r="G22" s="364"/>
      <c r="H22" s="364"/>
    </row>
    <row r="24" spans="1:8" ht="12.75" x14ac:dyDescent="0.2">
      <c r="A24" s="3" t="s">
        <v>66</v>
      </c>
      <c r="C24" s="4">
        <f>C6</f>
        <v>200</v>
      </c>
    </row>
    <row r="25" spans="1:8" ht="12.75" x14ac:dyDescent="0.2">
      <c r="A25" s="3" t="s">
        <v>67</v>
      </c>
      <c r="C25" s="4">
        <f>C7</f>
        <v>10</v>
      </c>
    </row>
    <row r="26" spans="1:8" ht="12.75" x14ac:dyDescent="0.2">
      <c r="A26" s="3" t="s">
        <v>68</v>
      </c>
      <c r="C26" s="4">
        <f>C8</f>
        <v>100</v>
      </c>
    </row>
    <row r="27" spans="1:8" ht="12.75" x14ac:dyDescent="0.2">
      <c r="A27" s="3" t="s">
        <v>69</v>
      </c>
      <c r="C27" s="10">
        <f>C9</f>
        <v>0.5</v>
      </c>
    </row>
    <row r="28" spans="1:8" ht="11.25" thickBot="1" x14ac:dyDescent="0.2"/>
    <row r="29" spans="1:8" ht="13.5" thickBot="1" x14ac:dyDescent="0.25">
      <c r="A29" s="6" t="s">
        <v>44</v>
      </c>
      <c r="B29" s="7"/>
      <c r="C29" s="11">
        <f>(C25/(C26*C27))</f>
        <v>0.2</v>
      </c>
    </row>
  </sheetData>
  <mergeCells count="3">
    <mergeCell ref="A4:H4"/>
    <mergeCell ref="A13:H13"/>
    <mergeCell ref="A22:H22"/>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2" sqref="A2"/>
    </sheetView>
  </sheetViews>
  <sheetFormatPr defaultRowHeight="10.5" x14ac:dyDescent="0.15"/>
  <cols>
    <col min="1" max="1" width="20.1640625" customWidth="1"/>
    <col min="2" max="2" width="20.5" customWidth="1"/>
    <col min="3" max="3" width="15" customWidth="1"/>
  </cols>
  <sheetData>
    <row r="1" spans="1:8" ht="16.5" x14ac:dyDescent="0.25">
      <c r="A1" s="1" t="s">
        <v>196</v>
      </c>
    </row>
    <row r="2" spans="1:8" ht="12.75" x14ac:dyDescent="0.2">
      <c r="A2" s="2" t="s">
        <v>72</v>
      </c>
    </row>
    <row r="4" spans="1:8" ht="41.25" customHeight="1" x14ac:dyDescent="0.2">
      <c r="A4" s="364" t="s">
        <v>102</v>
      </c>
      <c r="B4" s="364"/>
      <c r="C4" s="364"/>
      <c r="D4" s="364"/>
      <c r="E4" s="364"/>
      <c r="F4" s="364"/>
      <c r="G4" s="364"/>
      <c r="H4" s="364"/>
    </row>
    <row r="6" spans="1:8" ht="12.75" x14ac:dyDescent="0.2">
      <c r="A6" s="3" t="s">
        <v>67</v>
      </c>
      <c r="C6" s="4">
        <v>6</v>
      </c>
    </row>
    <row r="7" spans="1:8" ht="12.75" x14ac:dyDescent="0.2">
      <c r="A7" s="3" t="s">
        <v>73</v>
      </c>
      <c r="C7" s="4">
        <v>2</v>
      </c>
    </row>
    <row r="8" spans="1:8" ht="12.75" x14ac:dyDescent="0.2">
      <c r="A8" s="3" t="s">
        <v>75</v>
      </c>
      <c r="C8" s="4">
        <v>80</v>
      </c>
    </row>
    <row r="9" spans="1:8" ht="12.75" x14ac:dyDescent="0.2">
      <c r="A9" s="3" t="s">
        <v>74</v>
      </c>
      <c r="C9" s="12">
        <v>1</v>
      </c>
    </row>
    <row r="10" spans="1:8" ht="12.75" x14ac:dyDescent="0.2">
      <c r="A10" s="3" t="s">
        <v>76</v>
      </c>
      <c r="C10" s="4">
        <v>96</v>
      </c>
    </row>
    <row r="11" spans="1:8" ht="12.75" x14ac:dyDescent="0.2">
      <c r="A11" s="3"/>
      <c r="C11" s="10"/>
    </row>
    <row r="12" spans="1:8" ht="12.75" x14ac:dyDescent="0.2">
      <c r="A12" s="3"/>
      <c r="C12" s="10"/>
    </row>
    <row r="13" spans="1:8" ht="13.5" thickBot="1" x14ac:dyDescent="0.25">
      <c r="A13" s="3" t="s">
        <v>77</v>
      </c>
      <c r="C13" s="4">
        <f>C6/C9</f>
        <v>6</v>
      </c>
    </row>
    <row r="14" spans="1:8" ht="13.5" thickBot="1" x14ac:dyDescent="0.25">
      <c r="A14" s="6" t="s">
        <v>78</v>
      </c>
      <c r="B14" s="7"/>
      <c r="C14" s="13">
        <f>C10/C13</f>
        <v>16</v>
      </c>
    </row>
    <row r="15" spans="1:8" ht="12.75" x14ac:dyDescent="0.2">
      <c r="A15" s="3"/>
      <c r="C15" s="4"/>
    </row>
    <row r="16" spans="1:8" ht="12.75" x14ac:dyDescent="0.2">
      <c r="A16" s="3" t="s">
        <v>79</v>
      </c>
      <c r="C16" s="15">
        <f>C6+C7</f>
        <v>8</v>
      </c>
    </row>
    <row r="17" spans="1:8" ht="13.5" thickBot="1" x14ac:dyDescent="0.25">
      <c r="A17" s="3" t="s">
        <v>80</v>
      </c>
      <c r="C17" s="16">
        <f>C16/C9</f>
        <v>8</v>
      </c>
    </row>
    <row r="18" spans="1:8" ht="13.5" thickBot="1" x14ac:dyDescent="0.25">
      <c r="A18" s="6" t="s">
        <v>81</v>
      </c>
      <c r="B18" s="7"/>
      <c r="C18" s="13">
        <f>C10/C17</f>
        <v>12</v>
      </c>
    </row>
    <row r="20" spans="1:8" ht="13.5" thickBot="1" x14ac:dyDescent="0.25">
      <c r="A20" s="14" t="s">
        <v>82</v>
      </c>
      <c r="C20" s="16">
        <f>C8/C9</f>
        <v>80</v>
      </c>
    </row>
    <row r="21" spans="1:8" ht="13.5" thickBot="1" x14ac:dyDescent="0.25">
      <c r="A21" s="6" t="s">
        <v>83</v>
      </c>
      <c r="B21" s="7"/>
      <c r="C21" s="13">
        <f>C10/C20</f>
        <v>1.2</v>
      </c>
      <c r="D21" s="17"/>
      <c r="E21" s="17"/>
      <c r="F21" s="17"/>
      <c r="G21" s="17"/>
      <c r="H21" s="17"/>
    </row>
  </sheetData>
  <mergeCells count="1">
    <mergeCell ref="A4:H4"/>
  </mergeCells>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2" sqref="A2"/>
    </sheetView>
  </sheetViews>
  <sheetFormatPr defaultRowHeight="10.5" x14ac:dyDescent="0.15"/>
  <cols>
    <col min="1" max="1" width="15.1640625" customWidth="1"/>
    <col min="2" max="2" width="15.33203125" customWidth="1"/>
    <col min="3" max="3" width="14.33203125" customWidth="1"/>
  </cols>
  <sheetData>
    <row r="1" spans="1:8" ht="16.5" x14ac:dyDescent="0.25">
      <c r="A1" s="1" t="s">
        <v>197</v>
      </c>
    </row>
    <row r="2" spans="1:8" ht="12.75" x14ac:dyDescent="0.2">
      <c r="A2" s="2" t="s">
        <v>72</v>
      </c>
    </row>
    <row r="4" spans="1:8" ht="26.25" customHeight="1" x14ac:dyDescent="0.2">
      <c r="A4" s="364" t="s">
        <v>103</v>
      </c>
      <c r="B4" s="364"/>
      <c r="C4" s="364"/>
      <c r="D4" s="364"/>
      <c r="E4" s="364"/>
      <c r="F4" s="364"/>
      <c r="G4" s="364"/>
      <c r="H4" s="364"/>
    </row>
    <row r="6" spans="1:8" ht="12.75" x14ac:dyDescent="0.2">
      <c r="A6" s="3" t="s">
        <v>70</v>
      </c>
      <c r="C6" s="18">
        <v>0.06</v>
      </c>
    </row>
    <row r="7" spans="1:8" ht="12.75" x14ac:dyDescent="0.2">
      <c r="A7" s="3" t="s">
        <v>96</v>
      </c>
      <c r="C7" s="19">
        <v>2</v>
      </c>
    </row>
    <row r="8" spans="1:8" ht="12.75" x14ac:dyDescent="0.2">
      <c r="A8" s="3" t="s">
        <v>97</v>
      </c>
      <c r="C8" s="19">
        <v>1.5</v>
      </c>
    </row>
    <row r="9" spans="1:8" ht="13.5" thickBot="1" x14ac:dyDescent="0.25">
      <c r="A9" s="3"/>
      <c r="C9" s="10"/>
    </row>
    <row r="10" spans="1:8" ht="13.5" thickBot="1" x14ac:dyDescent="0.25">
      <c r="A10" s="6" t="s">
        <v>44</v>
      </c>
      <c r="B10" s="7"/>
      <c r="C10" s="20">
        <f>C6*C7*C8</f>
        <v>0.18</v>
      </c>
    </row>
  </sheetData>
  <mergeCells count="1">
    <mergeCell ref="A4:H4"/>
  </mergeCells>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4"/>
  <sheetViews>
    <sheetView topLeftCell="A10" workbookViewId="0">
      <selection activeCell="F26" sqref="F26"/>
    </sheetView>
  </sheetViews>
  <sheetFormatPr defaultRowHeight="10.5" x14ac:dyDescent="0.15"/>
  <cols>
    <col min="1" max="1" width="13.33203125" customWidth="1"/>
    <col min="2" max="2" width="17.5" customWidth="1"/>
    <col min="4" max="4" width="15.1640625" customWidth="1"/>
    <col min="5" max="5" width="16.5" customWidth="1"/>
    <col min="6" max="6" width="15.83203125" customWidth="1"/>
    <col min="7" max="7" width="15.33203125" customWidth="1"/>
  </cols>
  <sheetData>
    <row r="1" spans="1:8" ht="14.25" x14ac:dyDescent="0.2">
      <c r="A1" s="21"/>
      <c r="B1" s="22"/>
      <c r="C1" s="21"/>
      <c r="D1" s="21"/>
      <c r="E1" s="21"/>
      <c r="F1" s="21"/>
      <c r="G1" s="82">
        <f>Chapter!F1</f>
        <v>41251</v>
      </c>
      <c r="H1" s="21"/>
    </row>
    <row r="2" spans="1:8" ht="14.25" x14ac:dyDescent="0.2">
      <c r="A2" s="365" t="s">
        <v>173</v>
      </c>
      <c r="B2" s="366"/>
      <c r="C2" s="366"/>
      <c r="D2" s="366"/>
      <c r="E2" s="366"/>
      <c r="F2" s="366"/>
      <c r="G2" s="366"/>
      <c r="H2" s="366"/>
    </row>
    <row r="4" spans="1:8" ht="12.75" x14ac:dyDescent="0.2">
      <c r="A4" s="24" t="s">
        <v>41</v>
      </c>
      <c r="B4" s="25"/>
      <c r="C4" s="26"/>
      <c r="D4" s="26"/>
      <c r="E4" s="26"/>
      <c r="F4" s="26"/>
      <c r="G4" s="23"/>
    </row>
    <row r="5" spans="1:8" ht="13.5" thickBot="1" x14ac:dyDescent="0.25">
      <c r="A5" s="23"/>
      <c r="B5" s="27"/>
      <c r="C5" s="28"/>
      <c r="D5" s="29">
        <v>2012</v>
      </c>
      <c r="E5" s="29">
        <f>D5+1</f>
        <v>2013</v>
      </c>
      <c r="F5" s="29">
        <f>E5+1</f>
        <v>2014</v>
      </c>
      <c r="G5" s="23"/>
    </row>
    <row r="6" spans="1:8" ht="12.75" x14ac:dyDescent="0.2">
      <c r="A6" s="23" t="s">
        <v>33</v>
      </c>
      <c r="B6" s="30"/>
      <c r="C6" s="23"/>
      <c r="D6" s="31">
        <v>8.5</v>
      </c>
      <c r="E6" s="31">
        <v>6</v>
      </c>
      <c r="F6" s="32">
        <v>12.17</v>
      </c>
      <c r="G6" s="26"/>
    </row>
    <row r="7" spans="1:8" ht="12.75" x14ac:dyDescent="0.2">
      <c r="A7" s="23" t="s">
        <v>158</v>
      </c>
      <c r="B7" s="30"/>
      <c r="C7" s="23"/>
      <c r="D7" s="33">
        <v>100000</v>
      </c>
      <c r="E7" s="33">
        <v>100000</v>
      </c>
      <c r="F7" s="33">
        <v>250000</v>
      </c>
      <c r="G7" s="23"/>
    </row>
    <row r="8" spans="1:8" ht="12.75" x14ac:dyDescent="0.2">
      <c r="A8" s="23" t="s">
        <v>21</v>
      </c>
      <c r="B8" s="30"/>
      <c r="C8" s="23"/>
      <c r="D8" s="34">
        <v>0.4</v>
      </c>
      <c r="E8" s="34">
        <v>0.4</v>
      </c>
      <c r="F8" s="35">
        <v>0.4</v>
      </c>
      <c r="G8" s="23"/>
    </row>
    <row r="9" spans="1:8" ht="12.75" x14ac:dyDescent="0.2">
      <c r="A9" s="23" t="s">
        <v>38</v>
      </c>
      <c r="B9" s="30"/>
      <c r="C9" s="23"/>
      <c r="D9" s="36">
        <v>40000</v>
      </c>
      <c r="E9" s="36">
        <v>40000</v>
      </c>
      <c r="F9" s="36">
        <v>40000</v>
      </c>
      <c r="G9" s="23"/>
    </row>
    <row r="10" spans="1:8" ht="13.5" thickBot="1" x14ac:dyDescent="0.25">
      <c r="A10" s="23"/>
      <c r="B10" s="30"/>
      <c r="C10" s="23"/>
      <c r="D10" s="23"/>
      <c r="E10" s="23"/>
      <c r="F10" s="23"/>
      <c r="G10" s="23"/>
    </row>
    <row r="11" spans="1:8" ht="12.75" x14ac:dyDescent="0.2">
      <c r="A11" s="37" t="s">
        <v>159</v>
      </c>
      <c r="B11" s="38"/>
      <c r="C11" s="39"/>
      <c r="D11" s="38"/>
      <c r="E11" s="38"/>
      <c r="F11" s="40"/>
      <c r="G11" s="23"/>
    </row>
    <row r="12" spans="1:8" ht="12.75" x14ac:dyDescent="0.2">
      <c r="A12" s="41"/>
      <c r="B12" s="42"/>
      <c r="C12" s="43"/>
      <c r="D12" s="42"/>
      <c r="E12" s="42"/>
      <c r="F12" s="44"/>
      <c r="G12" s="23"/>
    </row>
    <row r="13" spans="1:8" ht="12.75" x14ac:dyDescent="0.2">
      <c r="A13" s="45"/>
      <c r="B13" s="42"/>
      <c r="C13" s="43"/>
      <c r="D13" s="42"/>
      <c r="E13" s="42"/>
      <c r="F13" s="44"/>
      <c r="G13" s="23"/>
    </row>
    <row r="14" spans="1:8" ht="13.5" thickBot="1" x14ac:dyDescent="0.25">
      <c r="A14" s="46" t="s">
        <v>7</v>
      </c>
      <c r="B14" s="47"/>
      <c r="C14" s="42"/>
      <c r="D14" s="48">
        <f>$C$16</f>
        <v>0</v>
      </c>
      <c r="E14" s="48">
        <f>$D$16</f>
        <v>48600</v>
      </c>
      <c r="F14" s="49">
        <f>$E$16</f>
        <v>20000</v>
      </c>
      <c r="G14" s="23"/>
    </row>
    <row r="15" spans="1:8" ht="12.75" x14ac:dyDescent="0.2">
      <c r="A15" s="45" t="s">
        <v>45</v>
      </c>
      <c r="B15" s="47"/>
      <c r="C15" s="42"/>
      <c r="D15" s="50">
        <v>9000</v>
      </c>
      <c r="E15" s="50">
        <v>7282</v>
      </c>
      <c r="F15" s="51">
        <v>14000</v>
      </c>
      <c r="G15" s="23"/>
    </row>
    <row r="16" spans="1:8" ht="12.75" x14ac:dyDescent="0.2">
      <c r="A16" s="45" t="s">
        <v>46</v>
      </c>
      <c r="B16" s="47"/>
      <c r="C16" s="42"/>
      <c r="D16" s="50">
        <v>48600</v>
      </c>
      <c r="E16" s="50">
        <v>20000</v>
      </c>
      <c r="F16" s="52">
        <v>71632</v>
      </c>
      <c r="G16" s="23"/>
    </row>
    <row r="17" spans="1:7" ht="12.75" x14ac:dyDescent="0.2">
      <c r="A17" s="45" t="s">
        <v>8</v>
      </c>
      <c r="B17" s="47"/>
      <c r="C17" s="42"/>
      <c r="D17" s="50">
        <v>351200</v>
      </c>
      <c r="E17" s="50">
        <v>632160</v>
      </c>
      <c r="F17" s="52">
        <v>878000</v>
      </c>
      <c r="G17" s="23"/>
    </row>
    <row r="18" spans="1:7" ht="12.75" x14ac:dyDescent="0.2">
      <c r="A18" s="45" t="s">
        <v>9</v>
      </c>
      <c r="B18" s="47"/>
      <c r="C18" s="42"/>
      <c r="D18" s="53">
        <v>715200</v>
      </c>
      <c r="E18" s="53">
        <v>1287360</v>
      </c>
      <c r="F18" s="54">
        <v>1716480</v>
      </c>
      <c r="G18" s="23"/>
    </row>
    <row r="19" spans="1:7" ht="12.75" x14ac:dyDescent="0.2">
      <c r="A19" s="45" t="s">
        <v>104</v>
      </c>
      <c r="B19" s="47"/>
      <c r="C19" s="42"/>
      <c r="D19" s="50">
        <f>SUM(D15:D18)</f>
        <v>1124000</v>
      </c>
      <c r="E19" s="50">
        <f>SUM(E15:E18)</f>
        <v>1946802</v>
      </c>
      <c r="F19" s="52">
        <f>SUM(F15:F18)</f>
        <v>2680112</v>
      </c>
      <c r="G19" s="23"/>
    </row>
    <row r="20" spans="1:7" ht="12.75" x14ac:dyDescent="0.2">
      <c r="A20" s="45" t="s">
        <v>160</v>
      </c>
      <c r="B20" s="47"/>
      <c r="C20" s="42"/>
      <c r="D20" s="50">
        <v>491000</v>
      </c>
      <c r="E20" s="50">
        <v>1202950</v>
      </c>
      <c r="F20" s="52">
        <v>1220000</v>
      </c>
      <c r="G20" s="23"/>
    </row>
    <row r="21" spans="1:7" ht="12.75" x14ac:dyDescent="0.2">
      <c r="A21" s="45" t="s">
        <v>161</v>
      </c>
      <c r="B21" s="47"/>
      <c r="C21" s="42"/>
      <c r="D21" s="53">
        <v>146200</v>
      </c>
      <c r="E21" s="53">
        <v>263160</v>
      </c>
      <c r="F21" s="54">
        <v>383160</v>
      </c>
      <c r="G21" s="23"/>
    </row>
    <row r="22" spans="1:7" ht="12.75" x14ac:dyDescent="0.2">
      <c r="A22" s="45" t="s">
        <v>162</v>
      </c>
      <c r="B22" s="47"/>
      <c r="C22" s="42"/>
      <c r="D22" s="55">
        <f>D20-D21</f>
        <v>344800</v>
      </c>
      <c r="E22" s="55">
        <f>E20-E21</f>
        <v>939790</v>
      </c>
      <c r="F22" s="56">
        <f>F20-F21</f>
        <v>836840</v>
      </c>
      <c r="G22" s="23"/>
    </row>
    <row r="23" spans="1:7" ht="13.5" thickBot="1" x14ac:dyDescent="0.25">
      <c r="A23" s="45" t="s">
        <v>163</v>
      </c>
      <c r="B23" s="47"/>
      <c r="C23" s="42"/>
      <c r="D23" s="57">
        <f>SUM(D19,D22)</f>
        <v>1468800</v>
      </c>
      <c r="E23" s="58">
        <f>SUM(E19,E22)</f>
        <v>2886592</v>
      </c>
      <c r="F23" s="59">
        <f>SUM(F19,F22)</f>
        <v>3516952</v>
      </c>
      <c r="G23" s="23"/>
    </row>
    <row r="24" spans="1:7" ht="13.5" thickTop="1" x14ac:dyDescent="0.2">
      <c r="A24" s="45"/>
      <c r="B24" s="47"/>
      <c r="C24" s="42"/>
      <c r="D24" s="60"/>
      <c r="E24" s="50"/>
      <c r="F24" s="52"/>
      <c r="G24" s="23"/>
    </row>
    <row r="25" spans="1:7" ht="12.75" x14ac:dyDescent="0.2">
      <c r="A25" s="46" t="s">
        <v>183</v>
      </c>
      <c r="B25" s="47"/>
      <c r="C25" s="42"/>
      <c r="D25" s="50"/>
      <c r="E25" s="50"/>
      <c r="F25" s="52"/>
      <c r="G25" s="23"/>
    </row>
    <row r="26" spans="1:7" ht="12.75" x14ac:dyDescent="0.2">
      <c r="A26" s="45" t="s">
        <v>12</v>
      </c>
      <c r="B26" s="47"/>
      <c r="C26" s="42"/>
      <c r="D26" s="50">
        <v>145600</v>
      </c>
      <c r="E26" s="50">
        <v>324000</v>
      </c>
      <c r="F26" s="52">
        <v>359800</v>
      </c>
      <c r="G26" s="23"/>
    </row>
    <row r="27" spans="1:7" ht="12.75" x14ac:dyDescent="0.2">
      <c r="A27" s="45" t="s">
        <v>13</v>
      </c>
      <c r="B27" s="47"/>
      <c r="C27" s="42"/>
      <c r="D27" s="50">
        <v>200000</v>
      </c>
      <c r="E27" s="50">
        <v>720000</v>
      </c>
      <c r="F27" s="52">
        <v>300000</v>
      </c>
      <c r="G27" s="23"/>
    </row>
    <row r="28" spans="1:7" ht="12.75" x14ac:dyDescent="0.2">
      <c r="A28" s="45" t="s">
        <v>14</v>
      </c>
      <c r="B28" s="47"/>
      <c r="C28" s="42"/>
      <c r="D28" s="53">
        <v>136000</v>
      </c>
      <c r="E28" s="53">
        <v>284960</v>
      </c>
      <c r="F28" s="54">
        <v>380000</v>
      </c>
      <c r="G28" s="23"/>
    </row>
    <row r="29" spans="1:7" ht="12.75" x14ac:dyDescent="0.2">
      <c r="A29" s="45" t="s">
        <v>105</v>
      </c>
      <c r="B29" s="47"/>
      <c r="C29" s="42"/>
      <c r="D29" s="50">
        <f>SUM(D26:D28)</f>
        <v>481600</v>
      </c>
      <c r="E29" s="50">
        <f>SUM(E26:E28)</f>
        <v>1328960</v>
      </c>
      <c r="F29" s="52">
        <f>SUM(F26:F28)</f>
        <v>1039800</v>
      </c>
      <c r="G29" s="23"/>
    </row>
    <row r="30" spans="1:7" ht="12.75" x14ac:dyDescent="0.2">
      <c r="A30" s="45" t="s">
        <v>15</v>
      </c>
      <c r="B30" s="47"/>
      <c r="C30" s="42"/>
      <c r="D30" s="53">
        <v>323432</v>
      </c>
      <c r="E30" s="53">
        <v>1000000</v>
      </c>
      <c r="F30" s="54">
        <v>500000</v>
      </c>
      <c r="G30" s="23"/>
    </row>
    <row r="31" spans="1:7" ht="12.75" x14ac:dyDescent="0.2">
      <c r="A31" s="45" t="s">
        <v>106</v>
      </c>
      <c r="B31" s="47"/>
      <c r="C31" s="42"/>
      <c r="D31" s="50">
        <f>SUM(D29:D30)</f>
        <v>805032</v>
      </c>
      <c r="E31" s="50">
        <f>SUM(E29:E30)</f>
        <v>2328960</v>
      </c>
      <c r="F31" s="52">
        <f>SUM(F29:F30)</f>
        <v>1539800</v>
      </c>
      <c r="G31" s="23"/>
    </row>
    <row r="32" spans="1:7" ht="12.75" x14ac:dyDescent="0.2">
      <c r="A32" s="45" t="s">
        <v>164</v>
      </c>
      <c r="B32" s="47"/>
      <c r="C32" s="42"/>
      <c r="D32" s="50">
        <v>460000</v>
      </c>
      <c r="E32" s="50">
        <v>460000</v>
      </c>
      <c r="F32" s="61">
        <v>1680936</v>
      </c>
      <c r="G32" s="23"/>
    </row>
    <row r="33" spans="1:7" ht="12.75" x14ac:dyDescent="0.2">
      <c r="A33" s="45" t="s">
        <v>18</v>
      </c>
      <c r="B33" s="47"/>
      <c r="C33" s="42"/>
      <c r="D33" s="53">
        <v>203768</v>
      </c>
      <c r="E33" s="53">
        <v>97632</v>
      </c>
      <c r="F33" s="54">
        <v>296216</v>
      </c>
      <c r="G33" s="23"/>
    </row>
    <row r="34" spans="1:7" ht="12.75" x14ac:dyDescent="0.2">
      <c r="A34" s="45" t="s">
        <v>19</v>
      </c>
      <c r="B34" s="47"/>
      <c r="C34" s="42"/>
      <c r="D34" s="50">
        <f>SUM(D32:D33)</f>
        <v>663768</v>
      </c>
      <c r="E34" s="50">
        <f>SUM(E32:E33)</f>
        <v>557632</v>
      </c>
      <c r="F34" s="56">
        <f>SUM(F32:F33)</f>
        <v>1977152</v>
      </c>
      <c r="G34" s="23"/>
    </row>
    <row r="35" spans="1:7" ht="13.5" thickBot="1" x14ac:dyDescent="0.25">
      <c r="A35" s="62" t="s">
        <v>20</v>
      </c>
      <c r="B35" s="48"/>
      <c r="C35" s="63"/>
      <c r="D35" s="64">
        <f>SUM(D31,D34)</f>
        <v>1468800</v>
      </c>
      <c r="E35" s="64">
        <f>SUM(E31,E34)</f>
        <v>2886592</v>
      </c>
      <c r="F35" s="65">
        <f>SUM(F31,F34)</f>
        <v>3516952</v>
      </c>
      <c r="G35" s="23"/>
    </row>
    <row r="36" spans="1:7" ht="13.5" thickBot="1" x14ac:dyDescent="0.25">
      <c r="A36" s="23"/>
      <c r="B36" s="30"/>
      <c r="C36" s="23"/>
      <c r="D36" s="66"/>
      <c r="E36" s="66"/>
      <c r="F36" s="23"/>
      <c r="G36" s="23"/>
    </row>
    <row r="37" spans="1:7" ht="12.75" x14ac:dyDescent="0.2">
      <c r="A37" s="37" t="s">
        <v>165</v>
      </c>
      <c r="B37" s="67"/>
      <c r="C37" s="38"/>
      <c r="D37" s="68"/>
      <c r="E37" s="68"/>
      <c r="F37" s="40"/>
      <c r="G37" s="23"/>
    </row>
    <row r="38" spans="1:7" ht="12.75" x14ac:dyDescent="0.2">
      <c r="A38" s="41"/>
      <c r="B38" s="47"/>
      <c r="C38" s="42"/>
      <c r="D38" s="50"/>
      <c r="E38" s="50"/>
      <c r="F38" s="44"/>
      <c r="G38" s="23"/>
    </row>
    <row r="39" spans="1:7" ht="13.5" thickBot="1" x14ac:dyDescent="0.25">
      <c r="A39" s="45"/>
      <c r="B39" s="42"/>
      <c r="C39" s="42"/>
      <c r="D39" s="48">
        <f>$C$16</f>
        <v>0</v>
      </c>
      <c r="E39" s="48">
        <f>$D$16</f>
        <v>48600</v>
      </c>
      <c r="F39" s="49">
        <f>$E$16</f>
        <v>20000</v>
      </c>
      <c r="G39" s="23"/>
    </row>
    <row r="40" spans="1:7" ht="12.75" x14ac:dyDescent="0.2">
      <c r="A40" s="45" t="s">
        <v>0</v>
      </c>
      <c r="B40" s="47"/>
      <c r="C40" s="42"/>
      <c r="D40" s="50">
        <v>3432000</v>
      </c>
      <c r="E40" s="50">
        <v>5834400</v>
      </c>
      <c r="F40" s="52">
        <v>7035600</v>
      </c>
      <c r="G40" s="23"/>
    </row>
    <row r="41" spans="1:7" ht="12.75" x14ac:dyDescent="0.2">
      <c r="A41" s="45" t="s">
        <v>166</v>
      </c>
      <c r="B41" s="47"/>
      <c r="C41" s="42"/>
      <c r="D41" s="50">
        <v>2864000</v>
      </c>
      <c r="E41" s="50">
        <v>4980000</v>
      </c>
      <c r="F41" s="52">
        <v>5800000</v>
      </c>
      <c r="G41" s="23"/>
    </row>
    <row r="42" spans="1:7" ht="12.75" x14ac:dyDescent="0.2">
      <c r="A42" s="69" t="s">
        <v>167</v>
      </c>
      <c r="B42" s="42"/>
      <c r="C42" s="42"/>
      <c r="D42" s="50">
        <v>18900</v>
      </c>
      <c r="E42" s="50">
        <v>116960</v>
      </c>
      <c r="F42" s="52">
        <v>120000</v>
      </c>
      <c r="G42" s="23"/>
    </row>
    <row r="43" spans="1:7" ht="12.75" x14ac:dyDescent="0.2">
      <c r="A43" s="45" t="s">
        <v>168</v>
      </c>
      <c r="B43" s="47"/>
      <c r="C43" s="42"/>
      <c r="D43" s="53">
        <v>340000</v>
      </c>
      <c r="E43" s="53">
        <v>720000</v>
      </c>
      <c r="F43" s="54">
        <v>612960</v>
      </c>
      <c r="G43" s="23"/>
    </row>
    <row r="44" spans="1:7" ht="12.75" x14ac:dyDescent="0.2">
      <c r="A44" s="45" t="s">
        <v>169</v>
      </c>
      <c r="B44" s="47"/>
      <c r="C44" s="42"/>
      <c r="D44" s="50">
        <f>SUM(D41:D43)</f>
        <v>3222900</v>
      </c>
      <c r="E44" s="50">
        <f>SUM(E41:E43)</f>
        <v>5816960</v>
      </c>
      <c r="F44" s="52">
        <f>SUM(F41:F43)</f>
        <v>6532960</v>
      </c>
      <c r="G44" s="23"/>
    </row>
    <row r="45" spans="1:7" ht="12.75" x14ac:dyDescent="0.2">
      <c r="A45" s="45" t="s">
        <v>1</v>
      </c>
      <c r="B45" s="47"/>
      <c r="C45" s="42"/>
      <c r="D45" s="50">
        <f>D40-D44</f>
        <v>209100</v>
      </c>
      <c r="E45" s="50">
        <f>E40-E44</f>
        <v>17440</v>
      </c>
      <c r="F45" s="52">
        <f>F40-F44</f>
        <v>502640</v>
      </c>
      <c r="G45" s="23"/>
    </row>
    <row r="46" spans="1:7" ht="12.75" x14ac:dyDescent="0.2">
      <c r="A46" s="45" t="s">
        <v>107</v>
      </c>
      <c r="B46" s="42"/>
      <c r="C46" s="42"/>
      <c r="D46" s="53">
        <v>62500</v>
      </c>
      <c r="E46" s="53">
        <v>176000</v>
      </c>
      <c r="F46" s="54">
        <v>80000</v>
      </c>
      <c r="G46" s="23"/>
    </row>
    <row r="47" spans="1:7" ht="12.75" x14ac:dyDescent="0.2">
      <c r="A47" s="45" t="s">
        <v>191</v>
      </c>
      <c r="B47" s="47"/>
      <c r="C47" s="42"/>
      <c r="D47" s="50">
        <f>D45-D46</f>
        <v>146600</v>
      </c>
      <c r="E47" s="70">
        <f>E45-E46</f>
        <v>-158560</v>
      </c>
      <c r="F47" s="52">
        <f>F45-F46</f>
        <v>422640</v>
      </c>
      <c r="G47" s="23"/>
    </row>
    <row r="48" spans="1:7" ht="12.75" x14ac:dyDescent="0.2">
      <c r="A48" s="45" t="s">
        <v>113</v>
      </c>
      <c r="B48" s="42"/>
      <c r="C48" s="42"/>
      <c r="D48" s="53">
        <f>D47*D8</f>
        <v>58640</v>
      </c>
      <c r="E48" s="71">
        <f>E47*E8</f>
        <v>-63424</v>
      </c>
      <c r="F48" s="54">
        <f>F8*F47</f>
        <v>169056</v>
      </c>
      <c r="G48" s="23"/>
    </row>
    <row r="49" spans="1:7" ht="13.5" thickBot="1" x14ac:dyDescent="0.25">
      <c r="A49" s="45" t="s">
        <v>108</v>
      </c>
      <c r="B49" s="47"/>
      <c r="C49" s="42"/>
      <c r="D49" s="57">
        <f>D47-D48</f>
        <v>87960</v>
      </c>
      <c r="E49" s="72">
        <f>E47-E48</f>
        <v>-95136</v>
      </c>
      <c r="F49" s="59">
        <f>F47-F48</f>
        <v>253584</v>
      </c>
      <c r="G49" s="23"/>
    </row>
    <row r="50" spans="1:7" ht="13.5" thickTop="1" x14ac:dyDescent="0.2">
      <c r="A50" s="45" t="s">
        <v>170</v>
      </c>
      <c r="B50" s="42"/>
      <c r="C50" s="42"/>
      <c r="D50" s="73">
        <f>D49/D7</f>
        <v>0.87960000000000005</v>
      </c>
      <c r="E50" s="74">
        <f>E49/E7</f>
        <v>-0.95135999999999998</v>
      </c>
      <c r="F50" s="75">
        <f>F49/F7</f>
        <v>1.0143359999999999</v>
      </c>
      <c r="G50" s="23"/>
    </row>
    <row r="51" spans="1:7" ht="12.75" x14ac:dyDescent="0.2">
      <c r="A51" s="45" t="s">
        <v>171</v>
      </c>
      <c r="B51" s="47"/>
      <c r="C51" s="42"/>
      <c r="D51" s="76">
        <v>0.22</v>
      </c>
      <c r="E51" s="76">
        <v>0.11</v>
      </c>
      <c r="F51" s="75">
        <v>0.22</v>
      </c>
      <c r="G51" s="23"/>
    </row>
    <row r="52" spans="1:7" ht="12.75" x14ac:dyDescent="0.2">
      <c r="A52" s="69" t="s">
        <v>172</v>
      </c>
      <c r="B52" s="47"/>
      <c r="C52" s="42"/>
      <c r="D52" s="76">
        <f>D34/D7</f>
        <v>6.6376799999999996</v>
      </c>
      <c r="E52" s="76">
        <f>E34/E7</f>
        <v>5.5763199999999999</v>
      </c>
      <c r="F52" s="75">
        <f>F34/F7</f>
        <v>7.9086080000000001</v>
      </c>
      <c r="G52" s="23"/>
    </row>
    <row r="53" spans="1:7" ht="13.5" thickBot="1" x14ac:dyDescent="0.25">
      <c r="A53" s="62"/>
      <c r="B53" s="48"/>
      <c r="C53" s="63"/>
      <c r="D53" s="77"/>
      <c r="E53" s="78"/>
      <c r="F53" s="49"/>
      <c r="G53" s="23"/>
    </row>
    <row r="54" spans="1:7" ht="12.75" x14ac:dyDescent="0.2">
      <c r="A54" s="14"/>
      <c r="B54" s="79"/>
      <c r="C54" s="14"/>
      <c r="D54" s="80"/>
      <c r="E54" s="81"/>
      <c r="F54" s="14"/>
      <c r="G54" s="23"/>
    </row>
  </sheetData>
  <mergeCells count="1">
    <mergeCell ref="A2:H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Chapter</vt:lpstr>
      <vt:lpstr>3-2</vt:lpstr>
      <vt:lpstr>3-3</vt:lpstr>
      <vt:lpstr>3-4</vt:lpstr>
      <vt:lpstr>3-5</vt:lpstr>
      <vt:lpstr>3-6</vt:lpstr>
      <vt:lpstr>3-8</vt:lpstr>
      <vt:lpstr>Mini Case Data</vt:lpstr>
      <vt:lpstr>Chapter!Print_Area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Analysis. Tool Kit</dc:title>
  <dc:subject>Tool Kit</dc:subject>
  <dc:creator>Christopher Buzzard and Mike Ehrhardt</dc:creator>
  <cp:lastModifiedBy>Joy Spikes</cp:lastModifiedBy>
  <cp:lastPrinted>2012-07-13T16:34:54Z</cp:lastPrinted>
  <dcterms:created xsi:type="dcterms:W3CDTF">1999-05-21T04:40:53Z</dcterms:created>
  <dcterms:modified xsi:type="dcterms:W3CDTF">2016-04-17T16:37:55Z</dcterms:modified>
</cp:coreProperties>
</file>