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950" yWindow="1580" windowWidth="19320" windowHeight="12120" firstSheet="1" activeTab="5"/>
  </bookViews>
  <sheets>
    <sheet name="Student Name(s)" sheetId="1" r:id="rId1"/>
    <sheet name="DCF Input Sheet" sheetId="2" r:id="rId2"/>
    <sheet name="DCF Valuation" sheetId="3" r:id="rId3"/>
    <sheet name="Multiples Valuation" sheetId="4" r:id="rId4"/>
    <sheet name="Industry Averages" sheetId="5" r:id="rId5"/>
    <sheet name="Company Key Stats" sheetId="6" r:id="rId6"/>
  </sheets>
  <definedNames>
    <definedName name="_xlnm.Print_Area" localSheetId="5">'Company Key Stats'!$A$1:$Q$19</definedName>
    <definedName name="_xlnm.Print_Area" localSheetId="1">'DCF Input Sheet'!$B$1:$I$75</definedName>
    <definedName name="_xlnm.Print_Area" localSheetId="2">'DCF Valuation'!$B$2:$P$58</definedName>
    <definedName name="_xlnm.Print_Area" localSheetId="4">'Industry Averages'!$A$1:$M$17</definedName>
    <definedName name="_xlnm.Print_Area" localSheetId="3">'Multiples Valuation'!$A$1:$K$30</definedName>
    <definedName name="_xlnm.Print_Area" localSheetId="0">'Student Name(s)'!$A$1:$H$17</definedName>
  </definedNames>
  <calcPr fullCalcOnLoad="1"/>
</workbook>
</file>

<file path=xl/comments2.xml><?xml version="1.0" encoding="utf-8"?>
<comments xmlns="http://schemas.openxmlformats.org/spreadsheetml/2006/main">
  <authors>
    <author>Aswath Damodaran</author>
    <author>Sullivan, Chris (C.M.)</author>
  </authors>
  <commentList>
    <comment ref="D24" authorId="0">
      <text>
        <r>
          <rPr>
            <sz val="9"/>
            <rFont val="Geneva"/>
            <family val="0"/>
          </rPr>
          <t>Even if the firm is not paying taxes now, enter the marginal tax rate it will face, when it does start paying taxes.</t>
        </r>
      </text>
    </comment>
    <comment ref="D23" authorId="0">
      <text>
        <r>
          <rPr>
            <b/>
            <sz val="9"/>
            <rFont val="Geneva"/>
            <family val="0"/>
          </rPr>
          <t>Aswath Damodaran:</t>
        </r>
        <r>
          <rPr>
            <sz val="9"/>
            <rFont val="Geneva"/>
            <family val="0"/>
          </rPr>
          <t xml:space="preserve">
Enter the net operating loss, if any, that the firm has accumulated over time. If you cannot find this, add up the net losses over the firm's lifetime and enter that.</t>
        </r>
      </text>
    </comment>
    <comment ref="D16" authorId="0">
      <text>
        <r>
          <rPr>
            <sz val="9"/>
            <rFont val="Geneva"/>
            <family val="0"/>
          </rPr>
          <t>Non-cash Working capital = Non-cash current assets - Non-debt current liabilities</t>
        </r>
      </text>
    </comment>
    <comment ref="D17" authorId="0">
      <text>
        <r>
          <rPr>
            <sz val="9"/>
            <rFont val="Geneva"/>
            <family val="0"/>
          </rPr>
          <t>Enter the book value of all interest bearing debt.</t>
        </r>
      </text>
    </comment>
    <comment ref="D18" authorId="0">
      <text>
        <r>
          <rPr>
            <sz val="9"/>
            <rFont val="Geneva"/>
            <family val="0"/>
          </rPr>
          <t>Enter the book value of equity (It can be negative)</t>
        </r>
      </text>
    </comment>
    <comment ref="G27" authorId="0">
      <text>
        <r>
          <rPr>
            <b/>
            <sz val="9"/>
            <rFont val="Geneva"/>
            <family val="0"/>
          </rPr>
          <t>Aswath Damodaran:</t>
        </r>
        <r>
          <rPr>
            <sz val="9"/>
            <rFont val="Geneva"/>
            <family val="0"/>
          </rPr>
          <t xml:space="preserve">
Yes or No. This information should be in the 10-K. If your firm has operating lease commitments, fill out the lease worksheet.</t>
        </r>
      </text>
    </comment>
    <comment ref="G28" authorId="0">
      <text>
        <r>
          <rPr>
            <b/>
            <sz val="9"/>
            <rFont val="Geneva"/>
            <family val="0"/>
          </rPr>
          <t>Aswath Damodaran:</t>
        </r>
        <r>
          <rPr>
            <sz val="9"/>
            <rFont val="Geneva"/>
            <family val="0"/>
          </rPr>
          <t xml:space="preserve">
Yes or No. If your firm has R&amp;D expenses, fill out the R&amp;D capitalization worksheet.</t>
        </r>
      </text>
    </comment>
    <comment ref="G29" authorId="0">
      <text>
        <r>
          <rPr>
            <b/>
            <sz val="9"/>
            <rFont val="Geneva"/>
            <family val="0"/>
          </rPr>
          <t>Aswath Damodaran:</t>
        </r>
        <r>
          <rPr>
            <sz val="9"/>
            <rFont val="Geneva"/>
            <family val="0"/>
          </rPr>
          <t xml:space="preserve">
There are some operating expenses that you might view as providing benefits over multiple periods. You can capitalize them by using the Other Expenses worksheet.</t>
        </r>
      </text>
    </comment>
    <comment ref="H38" authorId="0">
      <text>
        <r>
          <rPr>
            <b/>
            <sz val="9"/>
            <rFont val="Geneva"/>
            <family val="0"/>
          </rPr>
          <t>Aswath Damodaran:</t>
        </r>
        <r>
          <rPr>
            <sz val="9"/>
            <rFont val="Geneva"/>
            <family val="0"/>
          </rPr>
          <t xml:space="preserve">
This is obviously an estimate. Since this is going to compound over 10 years, be cautious.</t>
        </r>
      </text>
    </comment>
    <comment ref="H37" authorId="0">
      <text>
        <r>
          <rPr>
            <b/>
            <sz val="9"/>
            <rFont val="Geneva"/>
            <family val="0"/>
          </rPr>
          <t>Aswath Damodaran:</t>
        </r>
        <r>
          <rPr>
            <sz val="9"/>
            <rFont val="Geneva"/>
            <family val="0"/>
          </rPr>
          <t xml:space="preserve">
Yes or No. If yes, enter the growth rate in revenues each year below. If no, enter the compounded annual growth rate below.</t>
        </r>
      </text>
    </comment>
    <comment ref="D32" authorId="0">
      <text>
        <r>
          <rPr>
            <b/>
            <sz val="9"/>
            <rFont val="Geneva"/>
            <family val="0"/>
          </rPr>
          <t>Aswath Damodaran:</t>
        </r>
        <r>
          <rPr>
            <sz val="9"/>
            <rFont val="Geneva"/>
            <family val="0"/>
          </rPr>
          <t xml:space="preserve">
Enter the beta for the first 5 years of your valuation. I would suggest using a bottom-up beta.</t>
        </r>
      </text>
    </comment>
    <comment ref="D33" authorId="0">
      <text>
        <r>
          <rPr>
            <sz val="9"/>
            <rFont val="Geneva"/>
            <family val="0"/>
          </rPr>
          <t>Input the current cost of borrowing for the firm.</t>
        </r>
      </text>
    </comment>
    <comment ref="D34" authorId="0">
      <text>
        <r>
          <rPr>
            <sz val="9"/>
            <rFont val="Geneva"/>
            <family val="0"/>
          </rPr>
          <t>Enter the market value of the debt. As an approximation, you can use book value of debt.</t>
        </r>
      </text>
    </comment>
    <comment ref="H39" authorId="0">
      <text>
        <r>
          <rPr>
            <b/>
            <sz val="9"/>
            <rFont val="Geneva"/>
            <family val="0"/>
          </rPr>
          <t>Aswath Damodaran:</t>
        </r>
        <r>
          <rPr>
            <sz val="9"/>
            <rFont val="Geneva"/>
            <family val="0"/>
          </rPr>
          <t xml:space="preserve">
If your current working capital requirements are negative or abnormally high, I would say No.</t>
        </r>
      </text>
    </comment>
    <comment ref="H40" authorId="0">
      <text>
        <r>
          <rPr>
            <b/>
            <sz val="9"/>
            <rFont val="Geneva"/>
            <family val="0"/>
          </rPr>
          <t>Aswath Damodaran:</t>
        </r>
        <r>
          <rPr>
            <sz val="9"/>
            <rFont val="Geneva"/>
            <family val="0"/>
          </rPr>
          <t xml:space="preserve">
Input the percentage you would like to use. Industry averages might be a good idea.</t>
        </r>
      </text>
    </comment>
    <comment ref="E45" authorId="0">
      <text>
        <r>
          <rPr>
            <sz val="9"/>
            <rFont val="Geneva"/>
            <family val="0"/>
          </rPr>
          <t>This number has to be less than or equal to the growth rate of the economy. As a rule of thumb, it should not exceed the riskfree rate.</t>
        </r>
      </text>
    </comment>
    <comment ref="E46" authorId="0">
      <text>
        <r>
          <rPr>
            <sz val="9"/>
            <rFont val="Geneva"/>
            <family val="0"/>
          </rPr>
          <t>Enter the operating margin (EBIT/Sales) that you believe that your firm will have in stable growth. Look at industry averages/comparable companies for some guidance.</t>
        </r>
      </text>
    </comment>
    <comment ref="E47" authorId="0">
      <text>
        <r>
          <rPr>
            <sz val="9"/>
            <rFont val="Geneva"/>
            <family val="0"/>
          </rPr>
          <t>Enter the debt to value ratio the firm will have in stable growth</t>
        </r>
      </text>
    </comment>
    <comment ref="E48" authorId="0">
      <text>
        <r>
          <rPr>
            <sz val="9"/>
            <rFont val="Geneva"/>
            <family val="0"/>
          </rPr>
          <t>Enter the beta that you would like your company to have in stable growth</t>
        </r>
      </text>
    </comment>
    <comment ref="E49" authorId="0">
      <text>
        <r>
          <rPr>
            <sz val="9"/>
            <rFont val="Geneva"/>
            <family val="0"/>
          </rPr>
          <t xml:space="preserve">Enter the cost of debt that your firm will have in stable growth. </t>
        </r>
      </text>
    </comment>
    <comment ref="E54" authorId="0">
      <text>
        <r>
          <rPr>
            <sz val="9"/>
            <rFont val="Geneva"/>
            <family val="0"/>
          </rPr>
          <t>Enter the actual number of shares oustanding.</t>
        </r>
      </text>
    </comment>
    <comment ref="G55" authorId="0">
      <text>
        <r>
          <rPr>
            <b/>
            <sz val="9"/>
            <rFont val="Geneva"/>
            <family val="0"/>
          </rPr>
          <t>Aswath Damodaran:</t>
        </r>
        <r>
          <rPr>
            <sz val="9"/>
            <rFont val="Geneva"/>
            <family val="0"/>
          </rPr>
          <t xml:space="preserve">
Enter the most current stock price (even if your accounting information is dated)</t>
        </r>
      </text>
    </comment>
    <comment ref="G56" authorId="0">
      <text>
        <r>
          <rPr>
            <b/>
            <sz val="9"/>
            <rFont val="Geneva"/>
            <family val="0"/>
          </rPr>
          <t>Aswath Damodaran:</t>
        </r>
        <r>
          <rPr>
            <sz val="9"/>
            <rFont val="Geneva"/>
            <family val="0"/>
          </rPr>
          <t xml:space="preserve">
These are options issued by the firm. They include warrants, management options and conversion options in bonds.</t>
        </r>
      </text>
    </comment>
    <comment ref="E59" authorId="0">
      <text>
        <r>
          <rPr>
            <sz val="9"/>
            <rFont val="Geneva"/>
            <family val="0"/>
          </rPr>
          <t>Enter the current long term government bond rate.</t>
        </r>
      </text>
    </comment>
    <comment ref="E60" authorId="0">
      <text>
        <r>
          <rPr>
            <sz val="9"/>
            <rFont val="Geneva"/>
            <family val="0"/>
          </rPr>
          <t>Enter the current market risk premium. You can use a historical premium or an implied premium.</t>
        </r>
      </text>
    </comment>
    <comment ref="H41" authorId="0">
      <text>
        <r>
          <rPr>
            <b/>
            <sz val="9"/>
            <rFont val="Geneva"/>
            <family val="0"/>
          </rPr>
          <t>Aswath Damodaran:</t>
        </r>
        <r>
          <rPr>
            <sz val="9"/>
            <rFont val="Geneva"/>
            <family val="0"/>
          </rPr>
          <t xml:space="preserve">
1: Grow at same rate as revenues
2: Lag revenue growth by 2 years
3: Based on fixed sales/capital ratio</t>
        </r>
      </text>
    </comment>
    <comment ref="H42" authorId="0">
      <text>
        <r>
          <rPr>
            <b/>
            <sz val="9"/>
            <rFont val="Geneva"/>
            <family val="0"/>
          </rPr>
          <t>Aswath Damodaran:</t>
        </r>
        <r>
          <rPr>
            <sz val="9"/>
            <rFont val="Geneva"/>
            <family val="0"/>
          </rPr>
          <t xml:space="preserve">
This is an estimate of how many dollars of sales are generated by each additional dollar of investment.</t>
        </r>
      </text>
    </comment>
    <comment ref="G46" authorId="0">
      <text>
        <r>
          <rPr>
            <sz val="9"/>
            <rFont val="Geneva"/>
            <family val="0"/>
          </rPr>
          <t>Enter a number between 1 to 2. The convergence towards the target will occur quickest if you enter 1and slowest if you enter 2.</t>
        </r>
      </text>
    </comment>
    <comment ref="D20" authorId="0">
      <text>
        <r>
          <rPr>
            <sz val="9"/>
            <rFont val="Geneva"/>
            <family val="0"/>
          </rPr>
          <t xml:space="preserve">Value of holdings in other companies. </t>
        </r>
      </text>
    </comment>
    <comment ref="D74" authorId="0">
      <text>
        <r>
          <rPr>
            <b/>
            <sz val="9"/>
            <rFont val="Geneva"/>
            <family val="0"/>
          </rPr>
          <t>Aswath Damodaran:</t>
        </r>
        <r>
          <rPr>
            <sz val="9"/>
            <rFont val="Geneva"/>
            <family val="0"/>
          </rPr>
          <t xml:space="preserve">
DO NOT INPUT. This is the compounded average growth rate over the next 10 years, based upon your inputs.</t>
        </r>
      </text>
    </comment>
    <comment ref="E50" authorId="1">
      <text>
        <r>
          <rPr>
            <b/>
            <sz val="9"/>
            <rFont val="Tahoma"/>
            <family val="2"/>
          </rPr>
          <t>Sullivan, Chris (C.M.):</t>
        </r>
        <r>
          <rPr>
            <sz val="9"/>
            <rFont val="Tahoma"/>
            <family val="2"/>
          </rPr>
          <t xml:space="preserve">
Generally, firms that  retain competitive advantages should be able to earn a higher return. Again, look at industry averages.</t>
        </r>
      </text>
    </comment>
  </commentList>
</comments>
</file>

<file path=xl/comments3.xml><?xml version="1.0" encoding="utf-8"?>
<comments xmlns="http://schemas.openxmlformats.org/spreadsheetml/2006/main">
  <authors>
    <author>Aswath Damodaran</author>
  </authors>
  <commentList>
    <comment ref="O32" authorId="0">
      <text>
        <r>
          <rPr>
            <b/>
            <sz val="9"/>
            <rFont val="Geneva"/>
            <family val="0"/>
          </rPr>
          <t>Aswath Damodaran:</t>
        </r>
        <r>
          <rPr>
            <sz val="9"/>
            <rFont val="Geneva"/>
            <family val="0"/>
          </rPr>
          <t xml:space="preserve">
This is your input. This may not match the actual return on capital in the terminal year.</t>
        </r>
      </text>
    </comment>
  </commentList>
</comments>
</file>

<file path=xl/comments4.xml><?xml version="1.0" encoding="utf-8"?>
<comments xmlns="http://schemas.openxmlformats.org/spreadsheetml/2006/main">
  <authors>
    <author>Sullivan, Chris (C.M.)</author>
    <author>Chris Sullivan</author>
  </authors>
  <commentList>
    <comment ref="D9" authorId="0">
      <text>
        <r>
          <rPr>
            <b/>
            <sz val="9"/>
            <rFont val="Tahoma"/>
            <family val="2"/>
          </rPr>
          <t>Sullivan, Chris (C.M.):</t>
        </r>
        <r>
          <rPr>
            <sz val="9"/>
            <rFont val="Tahoma"/>
            <family val="2"/>
          </rPr>
          <t xml:space="preserve">
Price / Earnings per Share</t>
        </r>
      </text>
    </comment>
    <comment ref="D12" authorId="0">
      <text>
        <r>
          <rPr>
            <b/>
            <sz val="9"/>
            <rFont val="Tahoma"/>
            <family val="2"/>
          </rPr>
          <t>Sullivan, Chris (C.M.):</t>
        </r>
        <r>
          <rPr>
            <sz val="9"/>
            <rFont val="Tahoma"/>
            <family val="2"/>
          </rPr>
          <t xml:space="preserve">
Price / Earnings / Growth</t>
        </r>
      </text>
    </comment>
    <comment ref="D23" authorId="0">
      <text>
        <r>
          <rPr>
            <b/>
            <sz val="9"/>
            <rFont val="Tahoma"/>
            <family val="2"/>
          </rPr>
          <t>Sullivan, Chris (C.M.):</t>
        </r>
        <r>
          <rPr>
            <sz val="9"/>
            <rFont val="Tahoma"/>
            <family val="2"/>
          </rPr>
          <t xml:space="preserve">
Enterprise Value / EBITDA
</t>
        </r>
      </text>
    </comment>
    <comment ref="D16" authorId="0">
      <text>
        <r>
          <rPr>
            <b/>
            <sz val="9"/>
            <rFont val="Tahoma"/>
            <family val="2"/>
          </rPr>
          <t>Sullivan, Chris (C.M.):</t>
        </r>
        <r>
          <rPr>
            <sz val="9"/>
            <rFont val="Tahoma"/>
            <family val="2"/>
          </rPr>
          <t xml:space="preserve">
Price / Sales
</t>
        </r>
      </text>
    </comment>
    <comment ref="D26" authorId="1">
      <text>
        <r>
          <rPr>
            <b/>
            <sz val="9"/>
            <rFont val="Tahoma"/>
            <family val="0"/>
          </rPr>
          <t>Chris Sullivan:</t>
        </r>
        <r>
          <rPr>
            <sz val="9"/>
            <rFont val="Tahoma"/>
            <family val="0"/>
          </rPr>
          <t xml:space="preserve">
Enterprise Value / Sales</t>
        </r>
      </text>
    </comment>
  </commentList>
</comments>
</file>

<file path=xl/sharedStrings.xml><?xml version="1.0" encoding="utf-8"?>
<sst xmlns="http://schemas.openxmlformats.org/spreadsheetml/2006/main" count="207" uniqueCount="187">
  <si>
    <t>Retail/Wholesale Food</t>
  </si>
  <si>
    <t>Computed Variables (These are measures of how efficiently your firm is investing over time)</t>
  </si>
  <si>
    <t>The Valuation</t>
  </si>
  <si>
    <t>Effective Tax Rate</t>
  </si>
  <si>
    <t>ROE</t>
  </si>
  <si>
    <t>ROC</t>
  </si>
  <si>
    <t>Net Margin</t>
  </si>
  <si>
    <t>Sales/Capital</t>
  </si>
  <si>
    <t>Pharmacy Services</t>
  </si>
  <si>
    <t>How would you like capital expenditures to be estimated?</t>
  </si>
  <si>
    <t>Beverage</t>
  </si>
  <si>
    <t>Present Value Calculations</t>
  </si>
  <si>
    <t>Adjustments to Current Financial Information</t>
  </si>
  <si>
    <t>Do you have any operating leases?</t>
  </si>
  <si>
    <t>Does your firm have R&amp;D expenses?</t>
  </si>
  <si>
    <t>No</t>
  </si>
  <si>
    <t>Are there any other operating expenses to be capitalized?</t>
  </si>
  <si>
    <t>Expected Operating Margin =</t>
  </si>
  <si>
    <t>Retail Store</t>
  </si>
  <si>
    <t>Current Revenues =</t>
  </si>
  <si>
    <t>Book Value of Debt =</t>
  </si>
  <si>
    <t>Cash &amp; Marketable Securities =</t>
  </si>
  <si>
    <t>Non-operating Assets</t>
  </si>
  <si>
    <t>Toiletries/Cosmetics</t>
  </si>
  <si>
    <t>PV of Terminal Value =</t>
  </si>
  <si>
    <t>Value of Operating Assets of the firm =</t>
  </si>
  <si>
    <t xml:space="preserve"> - Value of Outstanding Debt =</t>
  </si>
  <si>
    <t>Value of Equity =</t>
  </si>
  <si>
    <t xml:space="preserve"> - Capital Expenditures</t>
  </si>
  <si>
    <t>FCFF</t>
  </si>
  <si>
    <t>Terminal Value</t>
  </si>
  <si>
    <t>Cost of Capital Calculations</t>
  </si>
  <si>
    <t>Debt Ratio</t>
  </si>
  <si>
    <t>Beta</t>
  </si>
  <si>
    <t>Cost of Equity</t>
  </si>
  <si>
    <t>Cost of Debt</t>
  </si>
  <si>
    <t>Tax Rate</t>
  </si>
  <si>
    <t xml:space="preserve">Cost of Capital </t>
  </si>
  <si>
    <t>NOL</t>
  </si>
  <si>
    <t xml:space="preserve"> - Chg WC</t>
  </si>
  <si>
    <t>Return on Capital</t>
  </si>
  <si>
    <t>Increase in Revenue/Increase in Capital</t>
  </si>
  <si>
    <t>Cumulative WACC</t>
  </si>
  <si>
    <t>Present Value of FCFF</t>
  </si>
  <si>
    <t>Present Value of Terminal Value</t>
  </si>
  <si>
    <t>Do you want me to use current working capital as percent of revenues for the future?</t>
  </si>
  <si>
    <t>Reinvestment Rate</t>
  </si>
  <si>
    <t>Current Market Value of Debt =</t>
  </si>
  <si>
    <t>After-tax cost of debt</t>
  </si>
  <si>
    <t xml:space="preserve"> - Value of Equity Options =</t>
  </si>
  <si>
    <t>Expectations for the future</t>
  </si>
  <si>
    <t>Do you want to enter the growth rate in revenues each year?</t>
  </si>
  <si>
    <t>Year</t>
  </si>
  <si>
    <t>If you would chose 3, enter the sales to capital ratio that you would like maintained</t>
  </si>
  <si>
    <t>Book Value of Equity =</t>
  </si>
  <si>
    <t>NOL carried forward =</t>
  </si>
  <si>
    <t>I. Income Statement</t>
  </si>
  <si>
    <t>Current EBIT =</t>
  </si>
  <si>
    <t>Current Interest Expense =</t>
  </si>
  <si>
    <t xml:space="preserve"> + Depreciation</t>
  </si>
  <si>
    <t>II. Balance Sheet</t>
  </si>
  <si>
    <t>III. Tax Information</t>
  </si>
  <si>
    <t>Current Depreciation and Amortization =</t>
  </si>
  <si>
    <t>Current Non-cash Working Capital =</t>
  </si>
  <si>
    <t>Industry Name</t>
  </si>
  <si>
    <t>Advertising</t>
  </si>
  <si>
    <t>Expected Beta =</t>
  </si>
  <si>
    <t>Expected Cost of Debt =</t>
  </si>
  <si>
    <t>Expected Growth Rate</t>
  </si>
  <si>
    <t>Compounded Average</t>
  </si>
  <si>
    <t>Household Products</t>
  </si>
  <si>
    <t>Unlevered Beta</t>
  </si>
  <si>
    <t>NA</t>
  </si>
  <si>
    <t>PV of FCFF during high growth phase =</t>
  </si>
  <si>
    <t>Value of Cash &amp; Non-operating assets=</t>
  </si>
  <si>
    <t>Value of Firm =</t>
  </si>
  <si>
    <t>If not, enter non-cash working capital as a percent of revenues in future periods</t>
  </si>
  <si>
    <t>Diversified Co.</t>
  </si>
  <si>
    <t>Drug</t>
  </si>
  <si>
    <t>Current Beta =</t>
  </si>
  <si>
    <t>Current Cost of Borrowing =</t>
  </si>
  <si>
    <t>Packaging &amp; Container</t>
  </si>
  <si>
    <t>Speed of convergence</t>
  </si>
  <si>
    <t>Summary Output</t>
  </si>
  <si>
    <t>Current Capital Spending</t>
  </si>
  <si>
    <t>Current long term government bond rate =</t>
  </si>
  <si>
    <t>Estimated Market Risk Premium =</t>
  </si>
  <si>
    <t>Yes</t>
  </si>
  <si>
    <t>Base</t>
  </si>
  <si>
    <t>If no, Compounded Annual Growth Rate in Revenues for next 10 years:</t>
  </si>
  <si>
    <t>Value of Equity in Common Stock =</t>
  </si>
  <si>
    <t>Value of Equity per share =</t>
  </si>
  <si>
    <t>Number of firms</t>
  </si>
  <si>
    <t>After-tax Operating Margin</t>
  </si>
  <si>
    <t>EV/Sales</t>
  </si>
  <si>
    <t>Healthcare Information</t>
  </si>
  <si>
    <t>Paper/Forest Products</t>
  </si>
  <si>
    <t>Terminal Year</t>
  </si>
  <si>
    <t>Revenues</t>
  </si>
  <si>
    <t>Revenue Growth Rate</t>
  </si>
  <si>
    <t>Operating Margin</t>
  </si>
  <si>
    <t>EBIT</t>
  </si>
  <si>
    <t>Taxes</t>
  </si>
  <si>
    <t>EBIT(1-t)</t>
  </si>
  <si>
    <t>Does your firm have equity options outstanding?</t>
  </si>
  <si>
    <t>Total Capital Invested</t>
  </si>
  <si>
    <t xml:space="preserve">EBIT </t>
  </si>
  <si>
    <t xml:space="preserve"> - Reinvestment</t>
  </si>
  <si>
    <t>This period</t>
  </si>
  <si>
    <t>Last period</t>
  </si>
  <si>
    <t>Marginal tax rate =</t>
  </si>
  <si>
    <t>Stock Book Value =</t>
  </si>
  <si>
    <t>PEG</t>
  </si>
  <si>
    <t>Equity Multiples</t>
  </si>
  <si>
    <t>Enterprise Multiples</t>
  </si>
  <si>
    <t>EV/EBITDA</t>
  </si>
  <si>
    <t>P/Sales</t>
  </si>
  <si>
    <t>Company Name</t>
  </si>
  <si>
    <t>EPS</t>
  </si>
  <si>
    <t>Stock Price</t>
  </si>
  <si>
    <t>Food Products</t>
  </si>
  <si>
    <t>Average</t>
  </si>
  <si>
    <t>PetMed Express</t>
  </si>
  <si>
    <t>Freshpet</t>
  </si>
  <si>
    <t>Hormel Foods</t>
  </si>
  <si>
    <t>Trupanion</t>
  </si>
  <si>
    <t>Pinnacle Foods</t>
  </si>
  <si>
    <t>Colgate-Palmolive</t>
  </si>
  <si>
    <t>Zoetis</t>
  </si>
  <si>
    <t>Brief Business Description</t>
  </si>
  <si>
    <t>World's largest producer of medicine and vaccinations for pets and livestock</t>
  </si>
  <si>
    <t>Online pet pharmacy offering prescription and non-prescription pet medications and other health products for dogs, cats and horses</t>
  </si>
  <si>
    <t>Manufacturer of refrigerated food and treats for dogs and cats using natural ingredients, and are the first in the fresh and refrigerated category to be distributed across North America</t>
  </si>
  <si>
    <t>Trupanion is a pet insurance provider that offers and administers cat and dog insurance in the United States, Canada and Puerto Rico</t>
  </si>
  <si>
    <t>A food company that produces Spam luncheon meat</t>
  </si>
  <si>
    <t xml:space="preserve">Packaged foods company that specializes in the shelf stable and frozen </t>
  </si>
  <si>
    <t>Nestlé</t>
  </si>
  <si>
    <t>Swiss multinational food and beverage company, Subsidiary Nestlé Purina Petcare produces and markets pet food, treats and litter</t>
  </si>
  <si>
    <t>American multinational consumer products company, including subsidairy Hills Pets which produces high quality pet foods</t>
  </si>
  <si>
    <t>WhiteWave Foods</t>
  </si>
  <si>
    <t>United Natural Foods</t>
  </si>
  <si>
    <t>Consumer packaged food and beverage company that sells branded plant-based foods and beverages, coffee creamers and beverages, premium dairy products, and organic produce</t>
  </si>
  <si>
    <t>Leading national distributor of natural and organic foods, specialty foods, and related products</t>
  </si>
  <si>
    <t>The global market leader in diagnostics and information technology solutions for animal health and water and milk quality</t>
  </si>
  <si>
    <t>IDEXX Labs</t>
  </si>
  <si>
    <t xml:space="preserve">Return on Equity = </t>
  </si>
  <si>
    <t>-</t>
  </si>
  <si>
    <t>Sales
($ Bils.)</t>
  </si>
  <si>
    <t>EBITDA
($ Bils.)</t>
  </si>
  <si>
    <t>EPS Growth
5-Year Estimate</t>
  </si>
  <si>
    <t>P/E
5-Year Estimate</t>
  </si>
  <si>
    <t>PEG
5-Year Estimate</t>
  </si>
  <si>
    <t>Market Cap
($ Bils.)</t>
  </si>
  <si>
    <t>Shares Outstanding (Mils.)</t>
  </si>
  <si>
    <t>SULLY'S Current Financial Information</t>
  </si>
  <si>
    <t>IV. Discount Rate Inputs</t>
  </si>
  <si>
    <t>V. Stable Growth Inputs</t>
  </si>
  <si>
    <t>VI. Per Share Inputs</t>
  </si>
  <si>
    <t>VII. General Information</t>
  </si>
  <si>
    <t>VIII. Expected Revenue Growth</t>
  </si>
  <si>
    <t>Please input values into the Yellow Boxes, DO NOT round to 000s</t>
  </si>
  <si>
    <t>(note values on SULLY'S financials are in 000s)</t>
  </si>
  <si>
    <t>Debt / Equity</t>
  </si>
  <si>
    <t>Debt / Value</t>
  </si>
  <si>
    <t>Equity / Value</t>
  </si>
  <si>
    <t>Revenue Growth
(Avg. 5 Years)</t>
  </si>
  <si>
    <t>ConAgra Foods</t>
  </si>
  <si>
    <t>Mondelez International</t>
  </si>
  <si>
    <t>(blank)</t>
  </si>
  <si>
    <t>DCF VALUATION</t>
  </si>
  <si>
    <t>Student Name(s):</t>
  </si>
  <si>
    <t>IPO Project Valuation Models</t>
  </si>
  <si>
    <t>Enterprise Value
($ Bils.)</t>
  </si>
  <si>
    <t>EV / EBITDA</t>
  </si>
  <si>
    <t>EV / Sales</t>
  </si>
  <si>
    <t>P / Sales</t>
  </si>
  <si>
    <t>Insurance</t>
  </si>
  <si>
    <t>Chemical</t>
  </si>
  <si>
    <t>Expected Revenue Growth Rate in Perpetutity =</t>
  </si>
  <si>
    <t>Expected Debt to Capital(MV) Ratio for the Firm =</t>
  </si>
  <si>
    <t>Return on Capital for the Firm =</t>
  </si>
  <si>
    <t>Number of Shares Outstanding =</t>
  </si>
  <si>
    <t>MULTIPLES VALUATION</t>
  </si>
  <si>
    <t>Computed</t>
  </si>
  <si>
    <t>Estimated EPS Growth Rate</t>
  </si>
  <si>
    <t>P / E Ratio</t>
  </si>
  <si>
    <t>SULLY'S Price per Share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</si>
</sst>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00"/>
    <numFmt numFmtId="177" formatCode="0.0%"/>
    <numFmt numFmtId="178" formatCode="#,##0.0000"/>
    <numFmt numFmtId="179" formatCode="0.000%"/>
    <numFmt numFmtId="180" formatCode="0.0000%"/>
    <numFmt numFmtId="181" formatCode="_(&quot;$&quot;* #,##0.0_);_(&quot;$&quot;* \(#,##0.0\);_(&quot;$&quot;* &quot;-&quot;??_);_(@_)"/>
    <numFmt numFmtId="182" formatCode="_(&quot;$&quot;* #,##0_);_(&quot;$&quot;* \(#,##0\);_(&quot;$&quot;* &quot;-&quot;??_);_(@_)"/>
    <numFmt numFmtId="183" formatCode="0.000000000000000%"/>
    <numFmt numFmtId="184" formatCode="0.000"/>
    <numFmt numFmtId="185" formatCode="0.0000"/>
    <numFmt numFmtId="186" formatCode="&quot;$&quot;#,##0"/>
    <numFmt numFmtId="187" formatCode="0.0000000"/>
    <numFmt numFmtId="188" formatCode="0.000000"/>
    <numFmt numFmtId="189" formatCode="0.00000"/>
    <numFmt numFmtId="190" formatCode="_(* #,##0.0_);_(* \(#,##0.0\);_(* &quot;-&quot;??_);_(@_)"/>
    <numFmt numFmtId="191" formatCode="_(* #,##0_);_(* \(#,##0\);_(* &quot;-&quot;??_);_(@_)"/>
    <numFmt numFmtId="192" formatCode="0.00000000"/>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_(* #,##0.0_);_(* \(#,##0.0\)_)\ ;_(* 0_)"/>
    <numFmt numFmtId="200" formatCode="[$-409]dddd\,\ mmmm\ dd\,\ yyyy"/>
    <numFmt numFmtId="201" formatCode="[$-409]h:mm:ss\ AM/PM"/>
    <numFmt numFmtId="202" formatCode="0.0"/>
    <numFmt numFmtId="203" formatCode="&quot;Yes&quot;;&quot;Yes&quot;;&quot;No&quot;"/>
    <numFmt numFmtId="204" formatCode="&quot;True&quot;;&quot;True&quot;;&quot;False&quot;"/>
    <numFmt numFmtId="205" formatCode="&quot;On&quot;;&quot;On&quot;;&quot;Off&quot;"/>
    <numFmt numFmtId="206" formatCode="[$€-2]\ #,##0.00_);[Red]\([$€-2]\ #,##0.00\)"/>
    <numFmt numFmtId="207" formatCode="_(&quot;$&quot;* #,##0.000_);_(&quot;$&quot;* \(#,##0.000\);_(&quot;$&quot;* &quot;-&quot;??_);_(@_)"/>
    <numFmt numFmtId="208" formatCode="_(&quot;$&quot;* #,##0.000_);_(&quot;$&quot;* \(#,##0.000\);_(&quot;$&quot;* &quot;-&quot;???_);_(@_)"/>
    <numFmt numFmtId="209" formatCode="#,##0%_);\(#,##0%\)"/>
    <numFmt numFmtId="210" formatCode="#,##0.0%_);\(#,##0.0%\)"/>
    <numFmt numFmtId="211" formatCode="#,##0.00%_);\(#,##0.00%\)"/>
  </numFmts>
  <fonts count="60">
    <font>
      <sz val="9"/>
      <name val="Geneva"/>
      <family val="0"/>
    </font>
    <font>
      <b/>
      <sz val="9"/>
      <name val="Geneva"/>
      <family val="0"/>
    </font>
    <font>
      <i/>
      <sz val="9"/>
      <name val="Geneva"/>
      <family val="0"/>
    </font>
    <font>
      <b/>
      <i/>
      <sz val="9"/>
      <name val="Geneva"/>
      <family val="0"/>
    </font>
    <font>
      <b/>
      <sz val="10"/>
      <name val="Geneva"/>
      <family val="0"/>
    </font>
    <font>
      <u val="single"/>
      <sz val="9"/>
      <color indexed="12"/>
      <name val="Geneva"/>
      <family val="0"/>
    </font>
    <font>
      <u val="single"/>
      <sz val="9"/>
      <color indexed="36"/>
      <name val="Geneva"/>
      <family val="0"/>
    </font>
    <font>
      <sz val="8"/>
      <name val="Geneva"/>
      <family val="0"/>
    </font>
    <font>
      <sz val="8"/>
      <name val="돋움"/>
      <family val="3"/>
    </font>
    <font>
      <sz val="9"/>
      <name val="Tahoma"/>
      <family val="2"/>
    </font>
    <font>
      <b/>
      <sz val="9"/>
      <name val="Tahoma"/>
      <family val="2"/>
    </font>
    <font>
      <sz val="10"/>
      <color indexed="8"/>
      <name val="Arial"/>
      <family val="2"/>
    </font>
    <font>
      <b/>
      <sz val="10"/>
      <name val="Arial"/>
      <family val="2"/>
    </font>
    <font>
      <i/>
      <sz val="10"/>
      <name val="Arial"/>
      <family val="2"/>
    </font>
    <font>
      <sz val="10"/>
      <name val="Arial"/>
      <family val="2"/>
    </font>
    <font>
      <b/>
      <u val="single"/>
      <sz val="10"/>
      <name val="Arial"/>
      <family val="2"/>
    </font>
    <font>
      <b/>
      <i/>
      <sz val="10"/>
      <name val="Arial"/>
      <family val="2"/>
    </font>
    <font>
      <b/>
      <u val="single"/>
      <sz val="9"/>
      <name val="Genev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8"/>
      <name val="Geneva"/>
      <family val="0"/>
    </font>
    <font>
      <b/>
      <i/>
      <sz val="9"/>
      <color indexed="8"/>
      <name val="Geneva"/>
      <family val="0"/>
    </font>
    <font>
      <b/>
      <sz val="9"/>
      <color indexed="8"/>
      <name val="Genev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1"/>
      <name val="Geneva"/>
      <family val="0"/>
    </font>
    <font>
      <sz val="10"/>
      <color theme="1"/>
      <name val="Arial"/>
      <family val="2"/>
    </font>
    <font>
      <b/>
      <i/>
      <sz val="9"/>
      <color theme="1"/>
      <name val="Geneva"/>
      <family val="0"/>
    </font>
    <font>
      <b/>
      <sz val="9"/>
      <color theme="1"/>
      <name val="Geneva"/>
      <family val="0"/>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thin"/>
      <top style="thick"/>
      <bottom style="thin"/>
    </border>
    <border>
      <left>
        <color indexed="63"/>
      </left>
      <right style="thin"/>
      <top style="thick"/>
      <bottom style="thin"/>
    </border>
    <border>
      <left style="thin"/>
      <right style="thin"/>
      <top style="thin"/>
      <bottom style="thick"/>
    </border>
    <border>
      <left>
        <color indexed="63"/>
      </left>
      <right style="thin"/>
      <top style="thin"/>
      <bottom style="thick"/>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0">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Font="1" applyAlignment="1">
      <alignment/>
    </xf>
    <xf numFmtId="10" fontId="0" fillId="0" borderId="10" xfId="0" applyNumberFormat="1" applyBorder="1" applyAlignment="1">
      <alignment/>
    </xf>
    <xf numFmtId="0" fontId="2" fillId="0" borderId="0" xfId="0" applyFont="1" applyAlignment="1">
      <alignment horizontal="center"/>
    </xf>
    <xf numFmtId="182" fontId="0" fillId="0" borderId="10" xfId="0" applyNumberFormat="1" applyBorder="1" applyAlignment="1">
      <alignment/>
    </xf>
    <xf numFmtId="182" fontId="0" fillId="0" borderId="10" xfId="44" applyNumberFormat="1" applyFont="1" applyBorder="1" applyAlignment="1">
      <alignment/>
    </xf>
    <xf numFmtId="0" fontId="2" fillId="0" borderId="0" xfId="0" applyFont="1" applyAlignment="1">
      <alignment/>
    </xf>
    <xf numFmtId="0" fontId="2" fillId="0" borderId="10" xfId="0" applyFont="1" applyBorder="1" applyAlignment="1">
      <alignment horizontal="center"/>
    </xf>
    <xf numFmtId="10" fontId="0" fillId="0" borderId="10" xfId="59" applyNumberFormat="1" applyFont="1" applyBorder="1" applyAlignment="1">
      <alignment/>
    </xf>
    <xf numFmtId="9" fontId="0" fillId="0" borderId="10" xfId="0" applyNumberFormat="1" applyBorder="1" applyAlignment="1">
      <alignment/>
    </xf>
    <xf numFmtId="186" fontId="0" fillId="0" borderId="10" xfId="0" applyNumberFormat="1" applyBorder="1" applyAlignment="1">
      <alignment/>
    </xf>
    <xf numFmtId="186" fontId="0" fillId="0" borderId="10" xfId="44" applyNumberFormat="1" applyFont="1" applyBorder="1" applyAlignment="1">
      <alignment/>
    </xf>
    <xf numFmtId="0" fontId="0" fillId="0" borderId="11" xfId="0" applyBorder="1" applyAlignment="1">
      <alignment/>
    </xf>
    <xf numFmtId="186" fontId="0" fillId="0" borderId="12" xfId="0" applyNumberFormat="1" applyBorder="1" applyAlignment="1">
      <alignment/>
    </xf>
    <xf numFmtId="186" fontId="0" fillId="0" borderId="13" xfId="0" applyNumberFormat="1" applyBorder="1" applyAlignment="1">
      <alignment/>
    </xf>
    <xf numFmtId="2" fontId="0" fillId="0" borderId="10" xfId="0" applyNumberFormat="1" applyBorder="1" applyAlignment="1">
      <alignment/>
    </xf>
    <xf numFmtId="43" fontId="0" fillId="0" borderId="10" xfId="0" applyNumberFormat="1" applyBorder="1" applyAlignment="1">
      <alignment/>
    </xf>
    <xf numFmtId="43" fontId="0" fillId="0" borderId="10" xfId="42" applyFont="1" applyBorder="1" applyAlignment="1">
      <alignment/>
    </xf>
    <xf numFmtId="0" fontId="0" fillId="0" borderId="10" xfId="0" applyFont="1" applyBorder="1" applyAlignment="1">
      <alignment/>
    </xf>
    <xf numFmtId="44" fontId="0" fillId="0" borderId="10" xfId="0" applyNumberFormat="1" applyFont="1" applyBorder="1" applyAlignment="1">
      <alignment/>
    </xf>
    <xf numFmtId="182" fontId="0" fillId="0" borderId="10" xfId="0" applyNumberFormat="1" applyFont="1" applyBorder="1" applyAlignment="1">
      <alignment/>
    </xf>
    <xf numFmtId="10" fontId="0" fillId="0" borderId="10" xfId="59" applyNumberFormat="1" applyFont="1" applyBorder="1" applyAlignment="1">
      <alignment horizontal="center"/>
    </xf>
    <xf numFmtId="198" fontId="0" fillId="0" borderId="10" xfId="42" applyNumberFormat="1" applyFont="1" applyBorder="1" applyAlignment="1">
      <alignment/>
    </xf>
    <xf numFmtId="0" fontId="0" fillId="0" borderId="14" xfId="0" applyBorder="1" applyAlignment="1">
      <alignment/>
    </xf>
    <xf numFmtId="186" fontId="0" fillId="0" borderId="14" xfId="0" applyNumberFormat="1" applyBorder="1" applyAlignment="1">
      <alignment/>
    </xf>
    <xf numFmtId="0" fontId="0" fillId="0" borderId="15" xfId="0" applyBorder="1" applyAlignment="1">
      <alignment horizontal="center"/>
    </xf>
    <xf numFmtId="2" fontId="0" fillId="0" borderId="15" xfId="0" applyNumberFormat="1" applyBorder="1" applyAlignment="1">
      <alignment horizontal="center"/>
    </xf>
    <xf numFmtId="10" fontId="0" fillId="0" borderId="15" xfId="0" applyNumberFormat="1" applyBorder="1" applyAlignment="1">
      <alignment horizontal="center"/>
    </xf>
    <xf numFmtId="0" fontId="0" fillId="0" borderId="0" xfId="0" applyBorder="1" applyAlignment="1">
      <alignment/>
    </xf>
    <xf numFmtId="44" fontId="0" fillId="0" borderId="0" xfId="44" applyNumberFormat="1" applyFont="1" applyBorder="1" applyAlignment="1">
      <alignment/>
    </xf>
    <xf numFmtId="0" fontId="3" fillId="0" borderId="10" xfId="0" applyFont="1" applyBorder="1" applyAlignment="1">
      <alignment horizontal="center"/>
    </xf>
    <xf numFmtId="0" fontId="3" fillId="0" borderId="0" xfId="0" applyFont="1" applyAlignment="1">
      <alignment horizontal="center"/>
    </xf>
    <xf numFmtId="0" fontId="0" fillId="0" borderId="0" xfId="0" applyFont="1" applyAlignment="1">
      <alignment/>
    </xf>
    <xf numFmtId="0" fontId="0" fillId="0" borderId="15" xfId="0" applyBorder="1" applyAlignment="1">
      <alignment/>
    </xf>
    <xf numFmtId="0" fontId="55" fillId="0" borderId="15" xfId="0" applyFont="1" applyFill="1" applyBorder="1" applyAlignment="1">
      <alignment/>
    </xf>
    <xf numFmtId="0" fontId="55" fillId="0" borderId="0" xfId="0" applyFont="1" applyFill="1" applyAlignment="1">
      <alignment/>
    </xf>
    <xf numFmtId="0" fontId="56" fillId="0" borderId="10" xfId="0" applyFont="1" applyFill="1" applyBorder="1" applyAlignment="1">
      <alignment/>
    </xf>
    <xf numFmtId="0" fontId="55" fillId="0" borderId="10" xfId="0" applyFont="1" applyFill="1" applyBorder="1" applyAlignment="1">
      <alignment/>
    </xf>
    <xf numFmtId="0" fontId="0" fillId="0" borderId="15" xfId="0" applyFont="1" applyBorder="1" applyAlignment="1">
      <alignment horizontal="center"/>
    </xf>
    <xf numFmtId="2" fontId="0" fillId="0" borderId="15" xfId="0" applyNumberFormat="1" applyFont="1" applyBorder="1" applyAlignment="1">
      <alignment horizontal="center"/>
    </xf>
    <xf numFmtId="10" fontId="0" fillId="0" borderId="15" xfId="0" applyNumberFormat="1" applyFont="1" applyBorder="1" applyAlignment="1">
      <alignment horizontal="center"/>
    </xf>
    <xf numFmtId="10" fontId="0" fillId="0" borderId="0" xfId="59" applyNumberFormat="1" applyFont="1" applyAlignment="1">
      <alignment/>
    </xf>
    <xf numFmtId="2" fontId="0" fillId="0" borderId="15" xfId="0" applyNumberFormat="1" applyBorder="1" applyAlignment="1">
      <alignment/>
    </xf>
    <xf numFmtId="202" fontId="0" fillId="0" borderId="15" xfId="0" applyNumberFormat="1" applyBorder="1" applyAlignment="1">
      <alignment/>
    </xf>
    <xf numFmtId="44" fontId="0" fillId="0" borderId="15" xfId="44" applyFont="1" applyBorder="1" applyAlignment="1">
      <alignment/>
    </xf>
    <xf numFmtId="43" fontId="0" fillId="0" borderId="15" xfId="42" applyFont="1" applyBorder="1" applyAlignment="1">
      <alignment horizontal="center"/>
    </xf>
    <xf numFmtId="10" fontId="0" fillId="0" borderId="15" xfId="0" applyNumberFormat="1" applyBorder="1" applyAlignment="1">
      <alignment/>
    </xf>
    <xf numFmtId="207" fontId="0" fillId="0" borderId="15" xfId="44" applyNumberFormat="1" applyFont="1" applyBorder="1" applyAlignment="1">
      <alignment/>
    </xf>
    <xf numFmtId="43" fontId="0" fillId="0" borderId="15" xfId="0" applyNumberFormat="1" applyBorder="1" applyAlignment="1">
      <alignment/>
    </xf>
    <xf numFmtId="43" fontId="0" fillId="0" borderId="15" xfId="0" applyNumberFormat="1" applyBorder="1" applyAlignment="1">
      <alignment horizontal="center"/>
    </xf>
    <xf numFmtId="43" fontId="0" fillId="0" borderId="15" xfId="42" applyNumberFormat="1" applyFont="1" applyBorder="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4" fontId="14" fillId="33" borderId="10" xfId="44" applyFont="1" applyFill="1" applyBorder="1" applyAlignment="1">
      <alignment horizontal="center"/>
    </xf>
    <xf numFmtId="0" fontId="14" fillId="0" borderId="0" xfId="0" applyFont="1" applyFill="1" applyAlignment="1">
      <alignment/>
    </xf>
    <xf numFmtId="44" fontId="14" fillId="33" borderId="10" xfId="44" applyFont="1" applyFill="1" applyBorder="1" applyAlignment="1">
      <alignment/>
    </xf>
    <xf numFmtId="0" fontId="14" fillId="33" borderId="10" xfId="0" applyFont="1" applyFill="1" applyBorder="1" applyAlignment="1">
      <alignment/>
    </xf>
    <xf numFmtId="0" fontId="14" fillId="0" borderId="0" xfId="0" applyFont="1" applyFill="1" applyBorder="1" applyAlignment="1">
      <alignment/>
    </xf>
    <xf numFmtId="44" fontId="14" fillId="0" borderId="0" xfId="44" applyFont="1" applyFill="1" applyBorder="1" applyAlignment="1">
      <alignment horizontal="center"/>
    </xf>
    <xf numFmtId="44" fontId="13" fillId="0" borderId="0" xfId="44" applyFont="1" applyBorder="1" applyAlignment="1">
      <alignment horizontal="center"/>
    </xf>
    <xf numFmtId="0" fontId="13" fillId="0" borderId="0" xfId="0" applyFont="1" applyBorder="1" applyAlignment="1">
      <alignment/>
    </xf>
    <xf numFmtId="0" fontId="14" fillId="0" borderId="0" xfId="0" applyFont="1" applyBorder="1" applyAlignment="1">
      <alignment/>
    </xf>
    <xf numFmtId="10" fontId="14" fillId="33" borderId="10" xfId="44" applyNumberFormat="1" applyFont="1" applyFill="1" applyBorder="1" applyAlignment="1">
      <alignment horizontal="center"/>
    </xf>
    <xf numFmtId="44" fontId="14" fillId="0" borderId="0" xfId="44" applyFont="1" applyBorder="1" applyAlignment="1">
      <alignment horizontal="center"/>
    </xf>
    <xf numFmtId="0" fontId="14" fillId="33" borderId="10" xfId="0" applyFont="1" applyFill="1" applyBorder="1" applyAlignment="1">
      <alignment horizontal="center"/>
    </xf>
    <xf numFmtId="10" fontId="14" fillId="33" borderId="10" xfId="0" applyNumberFormat="1" applyFont="1" applyFill="1" applyBorder="1" applyAlignment="1">
      <alignment horizontal="center"/>
    </xf>
    <xf numFmtId="191" fontId="14" fillId="33" borderId="10" xfId="42" applyNumberFormat="1" applyFont="1" applyFill="1" applyBorder="1" applyAlignment="1">
      <alignment horizontal="center"/>
    </xf>
    <xf numFmtId="43" fontId="14" fillId="33" borderId="10" xfId="42" applyFont="1" applyFill="1" applyBorder="1" applyAlignment="1">
      <alignment horizontal="center"/>
    </xf>
    <xf numFmtId="43" fontId="14" fillId="0" borderId="0" xfId="42" applyFont="1" applyBorder="1" applyAlignment="1">
      <alignment horizontal="center"/>
    </xf>
    <xf numFmtId="10" fontId="14" fillId="34" borderId="10" xfId="0" applyNumberFormat="1" applyFont="1" applyFill="1" applyBorder="1" applyAlignment="1">
      <alignment horizontal="center"/>
    </xf>
    <xf numFmtId="10" fontId="14" fillId="34" borderId="16" xfId="0" applyNumberFormat="1" applyFont="1" applyFill="1" applyBorder="1" applyAlignment="1">
      <alignment horizontal="center"/>
    </xf>
    <xf numFmtId="10" fontId="14" fillId="0" borderId="17" xfId="59" applyNumberFormat="1" applyFont="1" applyBorder="1" applyAlignment="1">
      <alignment horizontal="center"/>
    </xf>
    <xf numFmtId="2" fontId="14" fillId="33" borderId="10" xfId="0" applyNumberFormat="1" applyFont="1" applyFill="1" applyBorder="1" applyAlignment="1">
      <alignment horizontal="center"/>
    </xf>
    <xf numFmtId="44" fontId="14" fillId="0" borderId="0" xfId="0" applyNumberFormat="1" applyFont="1" applyBorder="1" applyAlignment="1">
      <alignment/>
    </xf>
    <xf numFmtId="10" fontId="14" fillId="33" borderId="10" xfId="0" applyNumberFormat="1" applyFont="1" applyFill="1" applyBorder="1" applyAlignment="1">
      <alignment/>
    </xf>
    <xf numFmtId="9" fontId="14" fillId="33" borderId="10" xfId="0" applyNumberFormat="1" applyFont="1" applyFill="1" applyBorder="1" applyAlignment="1">
      <alignment horizontal="center"/>
    </xf>
    <xf numFmtId="43" fontId="14" fillId="33" borderId="10" xfId="42" applyFont="1" applyFill="1" applyBorder="1" applyAlignment="1">
      <alignment/>
    </xf>
    <xf numFmtId="191" fontId="14" fillId="33" borderId="10" xfId="42" applyNumberFormat="1" applyFont="1" applyFill="1" applyBorder="1" applyAlignment="1">
      <alignment/>
    </xf>
    <xf numFmtId="44" fontId="14" fillId="0" borderId="0" xfId="0" applyNumberFormat="1" applyFont="1" applyAlignment="1">
      <alignment/>
    </xf>
    <xf numFmtId="182" fontId="14" fillId="33" borderId="10" xfId="44" applyNumberFormat="1" applyFont="1" applyFill="1" applyBorder="1" applyAlignment="1">
      <alignment horizontal="center"/>
    </xf>
    <xf numFmtId="182" fontId="14" fillId="33" borderId="16" xfId="44" applyNumberFormat="1" applyFont="1" applyFill="1" applyBorder="1" applyAlignment="1">
      <alignment horizontal="center"/>
    </xf>
    <xf numFmtId="182" fontId="14" fillId="0" borderId="12" xfId="44" applyNumberFormat="1" applyFont="1" applyFill="1" applyBorder="1" applyAlignment="1">
      <alignment horizontal="center"/>
    </xf>
    <xf numFmtId="182" fontId="14" fillId="33" borderId="10" xfId="44" applyNumberFormat="1" applyFont="1" applyFill="1" applyBorder="1" applyAlignment="1">
      <alignment/>
    </xf>
    <xf numFmtId="182" fontId="14" fillId="33" borderId="10" xfId="0" applyNumberFormat="1" applyFont="1" applyFill="1" applyBorder="1" applyAlignment="1">
      <alignment/>
    </xf>
    <xf numFmtId="10" fontId="14" fillId="0" borderId="10" xfId="0" applyNumberFormat="1" applyFont="1" applyFill="1" applyBorder="1" applyAlignment="1">
      <alignment horizontal="center"/>
    </xf>
    <xf numFmtId="0" fontId="14" fillId="0" borderId="18" xfId="0" applyFont="1" applyBorder="1" applyAlignment="1">
      <alignment/>
    </xf>
    <xf numFmtId="0" fontId="14" fillId="0" borderId="19" xfId="0" applyFont="1" applyBorder="1" applyAlignment="1">
      <alignment/>
    </xf>
    <xf numFmtId="0" fontId="14" fillId="0" borderId="20" xfId="0" applyFont="1" applyBorder="1" applyAlignment="1">
      <alignment/>
    </xf>
    <xf numFmtId="0" fontId="14" fillId="0" borderId="21" xfId="0" applyFont="1" applyBorder="1" applyAlignment="1">
      <alignment/>
    </xf>
    <xf numFmtId="0" fontId="12" fillId="0" borderId="0" xfId="0" applyFont="1" applyBorder="1" applyAlignment="1">
      <alignment/>
    </xf>
    <xf numFmtId="0" fontId="14" fillId="0" borderId="22"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4" fillId="0" borderId="21" xfId="0" applyFont="1" applyFill="1" applyBorder="1" applyAlignment="1">
      <alignment/>
    </xf>
    <xf numFmtId="0" fontId="14" fillId="0" borderId="22" xfId="0" applyFont="1" applyFill="1" applyBorder="1" applyAlignment="1">
      <alignment/>
    </xf>
    <xf numFmtId="199" fontId="11" fillId="0" borderId="0" xfId="0" applyNumberFormat="1" applyFont="1" applyBorder="1" applyAlignment="1">
      <alignment horizontal="right" vertical="top" wrapText="1"/>
    </xf>
    <xf numFmtId="10" fontId="14" fillId="0" borderId="0" xfId="59" applyNumberFormat="1" applyFont="1" applyBorder="1" applyAlignment="1">
      <alignment/>
    </xf>
    <xf numFmtId="0" fontId="12" fillId="0" borderId="21" xfId="0" applyFont="1" applyBorder="1" applyAlignment="1">
      <alignment/>
    </xf>
    <xf numFmtId="0" fontId="12" fillId="0" borderId="22" xfId="0" applyFont="1" applyBorder="1" applyAlignment="1">
      <alignment/>
    </xf>
    <xf numFmtId="0" fontId="14" fillId="0" borderId="0" xfId="0" applyFont="1" applyBorder="1" applyAlignment="1" quotePrefix="1">
      <alignment/>
    </xf>
    <xf numFmtId="0" fontId="14" fillId="0" borderId="0" xfId="0" applyFont="1" applyBorder="1" applyAlignment="1">
      <alignment horizontal="left"/>
    </xf>
    <xf numFmtId="0" fontId="14" fillId="0" borderId="23"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5" fillId="0" borderId="0" xfId="0" applyFont="1" applyBorder="1" applyAlignment="1">
      <alignment horizontal="center"/>
    </xf>
    <xf numFmtId="0" fontId="16" fillId="0" borderId="0" xfId="0" applyFont="1" applyBorder="1" applyAlignment="1">
      <alignment/>
    </xf>
    <xf numFmtId="10" fontId="14" fillId="0" borderId="0" xfId="0" applyNumberFormat="1" applyFont="1" applyFill="1" applyBorder="1" applyAlignment="1">
      <alignment horizontal="center"/>
    </xf>
    <xf numFmtId="0" fontId="13" fillId="0" borderId="0" xfId="0" applyFont="1" applyFill="1" applyBorder="1" applyAlignment="1">
      <alignment/>
    </xf>
    <xf numFmtId="182" fontId="14" fillId="0" borderId="0" xfId="44" applyNumberFormat="1" applyFont="1" applyFill="1" applyBorder="1" applyAlignment="1">
      <alignment/>
    </xf>
    <xf numFmtId="0" fontId="12" fillId="0" borderId="0" xfId="0" applyFont="1" applyFill="1" applyBorder="1" applyAlignment="1">
      <alignment/>
    </xf>
    <xf numFmtId="9" fontId="14" fillId="0" borderId="0" xfId="0" applyNumberFormat="1" applyFont="1" applyFill="1" applyBorder="1" applyAlignment="1">
      <alignment horizontal="center"/>
    </xf>
    <xf numFmtId="43" fontId="14" fillId="0" borderId="0" xfId="42" applyFont="1" applyFill="1" applyBorder="1" applyAlignment="1">
      <alignment/>
    </xf>
    <xf numFmtId="10" fontId="14" fillId="0" borderId="26" xfId="0" applyNumberFormat="1" applyFont="1" applyFill="1" applyBorder="1" applyAlignment="1">
      <alignment horizontal="center"/>
    </xf>
    <xf numFmtId="182" fontId="16" fillId="0" borderId="10" xfId="44" applyNumberFormat="1" applyFont="1" applyFill="1" applyBorder="1" applyAlignment="1">
      <alignment horizontal="center"/>
    </xf>
    <xf numFmtId="0" fontId="16" fillId="0" borderId="10" xfId="0" applyFont="1" applyBorder="1" applyAlignment="1">
      <alignment horizontal="center"/>
    </xf>
    <xf numFmtId="211" fontId="0" fillId="0" borderId="15" xfId="59" applyNumberFormat="1" applyFont="1" applyBorder="1" applyAlignment="1">
      <alignment/>
    </xf>
    <xf numFmtId="207" fontId="0" fillId="0" borderId="15"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0" fillId="0" borderId="21" xfId="0" applyBorder="1" applyAlignment="1">
      <alignment/>
    </xf>
    <xf numFmtId="0" fontId="0" fillId="0" borderId="22" xfId="0" applyBorder="1" applyAlignment="1">
      <alignment/>
    </xf>
    <xf numFmtId="0" fontId="1" fillId="0" borderId="0" xfId="0" applyFont="1" applyBorder="1" applyAlignment="1">
      <alignment/>
    </xf>
    <xf numFmtId="0" fontId="0" fillId="0" borderId="21" xfId="0" applyFont="1" applyBorder="1" applyAlignment="1">
      <alignment/>
    </xf>
    <xf numFmtId="0" fontId="0" fillId="0" borderId="22" xfId="0" applyFont="1" applyBorder="1" applyAlignment="1">
      <alignment/>
    </xf>
    <xf numFmtId="182" fontId="0" fillId="0" borderId="0" xfId="0" applyNumberFormat="1" applyBorder="1" applyAlignment="1">
      <alignment/>
    </xf>
    <xf numFmtId="43" fontId="0" fillId="0" borderId="0" xfId="0" applyNumberFormat="1" applyBorder="1" applyAlignment="1">
      <alignment/>
    </xf>
    <xf numFmtId="0" fontId="1" fillId="0" borderId="21" xfId="0" applyFont="1" applyBorder="1" applyAlignment="1">
      <alignment/>
    </xf>
    <xf numFmtId="182" fontId="1" fillId="0" borderId="0" xfId="0" applyNumberFormat="1" applyFont="1" applyBorder="1" applyAlignment="1">
      <alignment/>
    </xf>
    <xf numFmtId="0" fontId="1" fillId="0" borderId="22" xfId="0" applyFont="1" applyBorder="1" applyAlignment="1">
      <alignment/>
    </xf>
    <xf numFmtId="186"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7" fillId="0" borderId="0" xfId="0" applyFont="1" applyBorder="1" applyAlignment="1">
      <alignment horizontal="center"/>
    </xf>
    <xf numFmtId="0" fontId="0" fillId="0" borderId="27" xfId="0" applyBorder="1" applyAlignment="1">
      <alignment/>
    </xf>
    <xf numFmtId="0" fontId="56" fillId="0" borderId="14" xfId="0" applyFont="1" applyFill="1" applyBorder="1" applyAlignment="1">
      <alignment/>
    </xf>
    <xf numFmtId="0" fontId="3" fillId="0" borderId="28" xfId="0" applyFont="1" applyBorder="1" applyAlignment="1">
      <alignment horizontal="center"/>
    </xf>
    <xf numFmtId="0" fontId="57" fillId="0" borderId="28" xfId="0" applyFont="1" applyFill="1" applyBorder="1" applyAlignment="1">
      <alignment horizontal="center"/>
    </xf>
    <xf numFmtId="0" fontId="3" fillId="0" borderId="29" xfId="0" applyFont="1" applyBorder="1" applyAlignment="1">
      <alignment horizontal="center"/>
    </xf>
    <xf numFmtId="0" fontId="3" fillId="0" borderId="29" xfId="0" applyFont="1" applyBorder="1" applyAlignment="1">
      <alignment horizont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1" fillId="0" borderId="30" xfId="0" applyFont="1" applyBorder="1" applyAlignment="1">
      <alignment horizontal="center"/>
    </xf>
    <xf numFmtId="0" fontId="1" fillId="0" borderId="28" xfId="0" applyFont="1" applyBorder="1" applyAlignment="1">
      <alignment horizontal="center"/>
    </xf>
    <xf numFmtId="0" fontId="1" fillId="0" borderId="31" xfId="0" applyFont="1" applyBorder="1" applyAlignment="1">
      <alignment/>
    </xf>
    <xf numFmtId="0" fontId="58" fillId="0" borderId="32" xfId="0" applyFont="1" applyFill="1" applyBorder="1" applyAlignment="1">
      <alignment/>
    </xf>
    <xf numFmtId="44" fontId="1" fillId="0" borderId="32" xfId="44" applyFont="1" applyBorder="1" applyAlignment="1">
      <alignment/>
    </xf>
    <xf numFmtId="43" fontId="1" fillId="0" borderId="32" xfId="42" applyFont="1" applyBorder="1" applyAlignment="1">
      <alignment/>
    </xf>
    <xf numFmtId="207" fontId="1" fillId="0" borderId="32" xfId="44" applyNumberFormat="1" applyFont="1" applyBorder="1" applyAlignment="1">
      <alignment/>
    </xf>
    <xf numFmtId="10" fontId="1" fillId="0" borderId="32" xfId="59" applyNumberFormat="1" applyFont="1" applyBorder="1" applyAlignment="1">
      <alignment/>
    </xf>
    <xf numFmtId="43" fontId="1" fillId="0" borderId="32" xfId="44" applyNumberFormat="1" applyFont="1"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2" fontId="3" fillId="0" borderId="34" xfId="0" applyNumberFormat="1" applyFont="1" applyBorder="1" applyAlignment="1">
      <alignment horizontal="center"/>
    </xf>
    <xf numFmtId="0" fontId="1" fillId="0" borderId="32" xfId="0" applyFont="1" applyBorder="1" applyAlignment="1">
      <alignment horizontal="center"/>
    </xf>
    <xf numFmtId="2" fontId="1" fillId="0" borderId="32" xfId="0" applyNumberFormat="1" applyFont="1" applyBorder="1" applyAlignment="1">
      <alignment horizontal="center"/>
    </xf>
    <xf numFmtId="10" fontId="1" fillId="0" borderId="32" xfId="0" applyNumberFormat="1" applyFont="1" applyBorder="1" applyAlignment="1">
      <alignment horizontal="center"/>
    </xf>
    <xf numFmtId="10" fontId="0" fillId="0" borderId="32" xfId="0" applyNumberFormat="1" applyBorder="1" applyAlignment="1">
      <alignment horizontal="center"/>
    </xf>
    <xf numFmtId="0" fontId="2" fillId="0" borderId="21" xfId="0" applyFont="1" applyBorder="1" applyAlignment="1">
      <alignment/>
    </xf>
    <xf numFmtId="0" fontId="0" fillId="0" borderId="0" xfId="0" applyFont="1" applyBorder="1" applyAlignment="1">
      <alignment/>
    </xf>
    <xf numFmtId="0" fontId="2" fillId="0" borderId="0" xfId="0" applyFont="1" applyBorder="1" applyAlignment="1">
      <alignment/>
    </xf>
    <xf numFmtId="0" fontId="2" fillId="0" borderId="22" xfId="0" applyFont="1" applyBorder="1" applyAlignment="1">
      <alignment/>
    </xf>
    <xf numFmtId="0" fontId="1" fillId="0" borderId="26" xfId="0" applyFont="1" applyBorder="1" applyAlignment="1">
      <alignment/>
    </xf>
    <xf numFmtId="0" fontId="58" fillId="0" borderId="35" xfId="0" applyFont="1" applyFill="1" applyBorder="1" applyAlignment="1">
      <alignment/>
    </xf>
    <xf numFmtId="0" fontId="1" fillId="0" borderId="35" xfId="0" applyFont="1" applyBorder="1" applyAlignment="1">
      <alignment/>
    </xf>
    <xf numFmtId="44" fontId="1" fillId="0" borderId="35" xfId="44" applyFont="1" applyBorder="1" applyAlignment="1">
      <alignment/>
    </xf>
    <xf numFmtId="211" fontId="1" fillId="0" borderId="35" xfId="59" applyNumberFormat="1" applyFont="1" applyBorder="1" applyAlignment="1">
      <alignment/>
    </xf>
    <xf numFmtId="207" fontId="1" fillId="0" borderId="35" xfId="0" applyNumberFormat="1" applyFont="1" applyBorder="1" applyAlignment="1">
      <alignment/>
    </xf>
    <xf numFmtId="2" fontId="1" fillId="0" borderId="35" xfId="0" applyNumberFormat="1" applyFont="1" applyBorder="1" applyAlignment="1">
      <alignment horizontal="right"/>
    </xf>
    <xf numFmtId="10" fontId="1" fillId="0" borderId="35" xfId="59" applyNumberFormat="1" applyFont="1" applyBorder="1" applyAlignment="1">
      <alignment horizontal="right"/>
    </xf>
    <xf numFmtId="44" fontId="0" fillId="0" borderId="17" xfId="44" applyFont="1" applyBorder="1" applyAlignment="1">
      <alignment/>
    </xf>
    <xf numFmtId="44" fontId="1" fillId="0" borderId="36" xfId="44" applyFont="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5" xfId="0" applyBorder="1" applyAlignment="1">
      <alignment/>
    </xf>
    <xf numFmtId="43" fontId="0" fillId="0" borderId="35" xfId="0" applyNumberFormat="1" applyBorder="1" applyAlignment="1">
      <alignment/>
    </xf>
    <xf numFmtId="0" fontId="2" fillId="0" borderId="40" xfId="0" applyFont="1" applyBorder="1" applyAlignment="1">
      <alignment/>
    </xf>
    <xf numFmtId="0" fontId="2" fillId="0" borderId="35" xfId="0" applyFont="1" applyBorder="1" applyAlignment="1">
      <alignment/>
    </xf>
    <xf numFmtId="0" fontId="0" fillId="0" borderId="41" xfId="0" applyBorder="1" applyAlignment="1">
      <alignment/>
    </xf>
    <xf numFmtId="44" fontId="0" fillId="0" borderId="27" xfId="44" applyFont="1" applyBorder="1" applyAlignment="1">
      <alignment/>
    </xf>
    <xf numFmtId="0" fontId="17" fillId="0" borderId="0" xfId="0" applyFont="1" applyBorder="1" applyAlignment="1">
      <alignment/>
    </xf>
    <xf numFmtId="43" fontId="0" fillId="34" borderId="17" xfId="0" applyNumberFormat="1" applyFill="1" applyBorder="1" applyAlignment="1">
      <alignment/>
    </xf>
    <xf numFmtId="10" fontId="0" fillId="34" borderId="36" xfId="0" applyNumberFormat="1" applyFill="1" applyBorder="1" applyAlignment="1">
      <alignment/>
    </xf>
    <xf numFmtId="43" fontId="0" fillId="34" borderId="42" xfId="0" applyNumberFormat="1" applyFill="1" applyBorder="1" applyAlignment="1">
      <alignment/>
    </xf>
    <xf numFmtId="44" fontId="0" fillId="0" borderId="17" xfId="44" applyNumberFormat="1" applyFont="1" applyBorder="1" applyAlignment="1">
      <alignment/>
    </xf>
    <xf numFmtId="0" fontId="17" fillId="0" borderId="0" xfId="0" applyFont="1" applyBorder="1" applyAlignment="1">
      <alignment horizontal="center"/>
    </xf>
    <xf numFmtId="0" fontId="15" fillId="0" borderId="0" xfId="0" applyFont="1" applyBorder="1" applyAlignment="1">
      <alignment horizontal="center"/>
    </xf>
    <xf numFmtId="0" fontId="12" fillId="0" borderId="0"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43" fontId="0" fillId="34" borderId="1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H16"/>
  <sheetViews>
    <sheetView view="pageBreakPreview" zoomScale="220" zoomScaleSheetLayoutView="220" zoomScalePageLayoutView="0" workbookViewId="0" topLeftCell="A1">
      <selection activeCell="I13" sqref="I13"/>
    </sheetView>
  </sheetViews>
  <sheetFormatPr defaultColWidth="9.00390625" defaultRowHeight="12"/>
  <sheetData>
    <row r="1" ht="12" thickBot="1"/>
    <row r="2" spans="2:8" ht="11.25">
      <c r="B2" s="120"/>
      <c r="C2" s="121"/>
      <c r="D2" s="121"/>
      <c r="E2" s="121"/>
      <c r="F2" s="121"/>
      <c r="G2" s="121"/>
      <c r="H2" s="122"/>
    </row>
    <row r="3" spans="2:8" ht="11.25">
      <c r="B3" s="125"/>
      <c r="C3" s="193" t="s">
        <v>171</v>
      </c>
      <c r="D3" s="193"/>
      <c r="E3" s="193"/>
      <c r="F3" s="193"/>
      <c r="G3" s="193"/>
      <c r="H3" s="126"/>
    </row>
    <row r="4" spans="2:8" ht="11.25">
      <c r="B4" s="125"/>
      <c r="C4" s="139"/>
      <c r="D4" s="139"/>
      <c r="E4" s="139"/>
      <c r="F4" s="139"/>
      <c r="G4" s="139"/>
      <c r="H4" s="126"/>
    </row>
    <row r="5" spans="2:8" ht="11.25">
      <c r="B5" s="125"/>
      <c r="C5" s="30"/>
      <c r="D5" s="30"/>
      <c r="E5" s="30"/>
      <c r="F5" s="30"/>
      <c r="G5" s="30"/>
      <c r="H5" s="126"/>
    </row>
    <row r="6" spans="2:8" ht="11.25">
      <c r="B6" s="125"/>
      <c r="C6" s="127" t="s">
        <v>170</v>
      </c>
      <c r="D6" s="30"/>
      <c r="E6" s="30"/>
      <c r="F6" s="30"/>
      <c r="G6" s="30"/>
      <c r="H6" s="126"/>
    </row>
    <row r="7" spans="2:8" ht="11.25">
      <c r="B7" s="125"/>
      <c r="C7" s="30"/>
      <c r="D7" s="30"/>
      <c r="E7" s="30"/>
      <c r="F7" s="30"/>
      <c r="G7" s="30"/>
      <c r="H7" s="126"/>
    </row>
    <row r="8" spans="2:8" ht="11.25">
      <c r="B8" s="125"/>
      <c r="C8" s="30"/>
      <c r="D8" s="30"/>
      <c r="E8" s="30"/>
      <c r="F8" s="30"/>
      <c r="G8" s="30"/>
      <c r="H8" s="126"/>
    </row>
    <row r="9" spans="2:8" ht="11.25">
      <c r="B9" s="125"/>
      <c r="C9" s="140"/>
      <c r="D9" s="140"/>
      <c r="E9" s="140"/>
      <c r="F9" s="140"/>
      <c r="G9" s="140"/>
      <c r="H9" s="126"/>
    </row>
    <row r="10" spans="2:8" ht="11.25">
      <c r="B10" s="125"/>
      <c r="C10" s="30"/>
      <c r="D10" s="30"/>
      <c r="E10" s="30"/>
      <c r="F10" s="30"/>
      <c r="G10" s="30"/>
      <c r="H10" s="126"/>
    </row>
    <row r="11" spans="2:8" ht="11.25">
      <c r="B11" s="125"/>
      <c r="C11" s="30"/>
      <c r="D11" s="30"/>
      <c r="E11" s="30"/>
      <c r="F11" s="30"/>
      <c r="G11" s="30"/>
      <c r="H11" s="126"/>
    </row>
    <row r="12" spans="2:8" ht="11.25">
      <c r="B12" s="125"/>
      <c r="C12" s="30"/>
      <c r="D12" s="30"/>
      <c r="E12" s="30"/>
      <c r="F12" s="30"/>
      <c r="G12" s="30"/>
      <c r="H12" s="126"/>
    </row>
    <row r="13" spans="2:8" ht="11.25">
      <c r="B13" s="125"/>
      <c r="C13" s="140"/>
      <c r="D13" s="140"/>
      <c r="E13" s="140"/>
      <c r="F13" s="140"/>
      <c r="G13" s="140"/>
      <c r="H13" s="126"/>
    </row>
    <row r="14" spans="2:8" ht="11.25">
      <c r="B14" s="125"/>
      <c r="C14" s="30"/>
      <c r="D14" s="30"/>
      <c r="E14" s="30"/>
      <c r="F14" s="30"/>
      <c r="G14" s="30"/>
      <c r="H14" s="126"/>
    </row>
    <row r="15" spans="2:8" ht="11.25">
      <c r="B15" s="125"/>
      <c r="C15" s="30"/>
      <c r="D15" s="30"/>
      <c r="E15" s="30"/>
      <c r="F15" s="30"/>
      <c r="G15" s="30"/>
      <c r="H15" s="126"/>
    </row>
    <row r="16" spans="2:8" ht="12" thickBot="1">
      <c r="B16" s="136"/>
      <c r="C16" s="137"/>
      <c r="D16" s="137"/>
      <c r="E16" s="137"/>
      <c r="F16" s="137"/>
      <c r="G16" s="137"/>
      <c r="H16" s="138"/>
    </row>
  </sheetData>
  <sheetProtection/>
  <mergeCells count="1">
    <mergeCell ref="C3:G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J75"/>
  <sheetViews>
    <sheetView view="pageBreakPreview" zoomScale="130" zoomScaleSheetLayoutView="130" zoomScalePageLayoutView="0" workbookViewId="0" topLeftCell="A58">
      <selection activeCell="D73" sqref="D73"/>
    </sheetView>
  </sheetViews>
  <sheetFormatPr defaultColWidth="11.375" defaultRowHeight="12"/>
  <cols>
    <col min="1" max="1" width="11.375" style="55" customWidth="1"/>
    <col min="2" max="2" width="1.37890625" style="55" customWidth="1"/>
    <col min="3" max="3" width="35.375" style="55" customWidth="1"/>
    <col min="4" max="5" width="15.00390625" style="55" customWidth="1"/>
    <col min="6" max="6" width="4.375" style="55" customWidth="1"/>
    <col min="7" max="7" width="15.625" style="55" customWidth="1"/>
    <col min="8" max="8" width="11.375" style="55" customWidth="1"/>
    <col min="9" max="9" width="1.37890625" style="55" customWidth="1"/>
    <col min="10" max="10" width="11.75390625" style="55" bestFit="1" customWidth="1"/>
    <col min="11" max="16384" width="11.375" style="55" customWidth="1"/>
  </cols>
  <sheetData>
    <row r="1" ht="6.75" customHeight="1" thickBot="1"/>
    <row r="2" spans="2:9" ht="4.5" customHeight="1">
      <c r="B2" s="88"/>
      <c r="C2" s="89"/>
      <c r="D2" s="89"/>
      <c r="E2" s="89"/>
      <c r="F2" s="89"/>
      <c r="G2" s="89"/>
      <c r="H2" s="89"/>
      <c r="I2" s="90"/>
    </row>
    <row r="3" spans="2:9" ht="12.75">
      <c r="B3" s="91"/>
      <c r="C3" s="194" t="s">
        <v>154</v>
      </c>
      <c r="D3" s="194"/>
      <c r="E3" s="194"/>
      <c r="F3" s="194"/>
      <c r="G3" s="194"/>
      <c r="H3" s="194"/>
      <c r="I3" s="93"/>
    </row>
    <row r="4" spans="2:9" ht="4.5" customHeight="1">
      <c r="B4" s="91"/>
      <c r="C4" s="107"/>
      <c r="D4" s="107"/>
      <c r="E4" s="107"/>
      <c r="F4" s="107"/>
      <c r="G4" s="107"/>
      <c r="H4" s="107"/>
      <c r="I4" s="93"/>
    </row>
    <row r="5" spans="2:9" ht="12.75">
      <c r="B5" s="91"/>
      <c r="C5" s="195" t="s">
        <v>160</v>
      </c>
      <c r="D5" s="195"/>
      <c r="E5" s="195"/>
      <c r="F5" s="195"/>
      <c r="G5" s="195"/>
      <c r="H5" s="195"/>
      <c r="I5" s="93"/>
    </row>
    <row r="6" spans="2:9" ht="12.75">
      <c r="B6" s="91"/>
      <c r="C6" s="195" t="s">
        <v>161</v>
      </c>
      <c r="D6" s="195"/>
      <c r="E6" s="195"/>
      <c r="F6" s="195"/>
      <c r="G6" s="195"/>
      <c r="H6" s="195"/>
      <c r="I6" s="93"/>
    </row>
    <row r="7" spans="2:9" ht="6" customHeight="1">
      <c r="B7" s="91"/>
      <c r="C7" s="92"/>
      <c r="D7" s="92"/>
      <c r="E7" s="64"/>
      <c r="F7" s="64"/>
      <c r="G7" s="64"/>
      <c r="H7" s="64"/>
      <c r="I7" s="93"/>
    </row>
    <row r="8" spans="2:9" s="54" customFormat="1" ht="12.75">
      <c r="B8" s="94"/>
      <c r="C8" s="108" t="s">
        <v>56</v>
      </c>
      <c r="D8" s="63"/>
      <c r="E8" s="63"/>
      <c r="F8" s="63"/>
      <c r="G8" s="63"/>
      <c r="H8" s="63"/>
      <c r="I8" s="95"/>
    </row>
    <row r="9" spans="2:9" ht="12.75">
      <c r="B9" s="91"/>
      <c r="C9" s="64" t="s">
        <v>57</v>
      </c>
      <c r="D9" s="82">
        <v>1000000</v>
      </c>
      <c r="E9" s="64"/>
      <c r="F9" s="64"/>
      <c r="G9" s="64"/>
      <c r="H9" s="64"/>
      <c r="I9" s="93"/>
    </row>
    <row r="10" spans="2:9" ht="12.75">
      <c r="B10" s="91"/>
      <c r="C10" s="64" t="s">
        <v>58</v>
      </c>
      <c r="D10" s="82">
        <v>10000</v>
      </c>
      <c r="E10" s="64"/>
      <c r="F10" s="64"/>
      <c r="G10" s="64"/>
      <c r="H10" s="64"/>
      <c r="I10" s="93"/>
    </row>
    <row r="11" spans="2:9" ht="12.75">
      <c r="B11" s="91"/>
      <c r="C11" s="64" t="s">
        <v>84</v>
      </c>
      <c r="D11" s="82">
        <v>0</v>
      </c>
      <c r="E11" s="64"/>
      <c r="F11" s="64"/>
      <c r="G11" s="64"/>
      <c r="H11" s="64"/>
      <c r="I11" s="93"/>
    </row>
    <row r="12" spans="2:9" ht="12.75">
      <c r="B12" s="91"/>
      <c r="C12" s="64" t="s">
        <v>62</v>
      </c>
      <c r="D12" s="82">
        <v>4000</v>
      </c>
      <c r="E12" s="64"/>
      <c r="F12" s="64"/>
      <c r="G12" s="64"/>
      <c r="H12" s="64"/>
      <c r="I12" s="93"/>
    </row>
    <row r="13" spans="2:9" ht="12.75">
      <c r="B13" s="91"/>
      <c r="C13" s="64" t="s">
        <v>19</v>
      </c>
      <c r="D13" s="83">
        <v>9000000</v>
      </c>
      <c r="E13" s="64"/>
      <c r="F13" s="64"/>
      <c r="G13" s="64"/>
      <c r="H13" s="64"/>
      <c r="I13" s="93"/>
    </row>
    <row r="14" spans="2:9" s="57" customFormat="1" ht="7.5" customHeight="1">
      <c r="B14" s="96"/>
      <c r="C14" s="60"/>
      <c r="D14" s="84"/>
      <c r="E14" s="60"/>
      <c r="F14" s="60"/>
      <c r="G14" s="60"/>
      <c r="H14" s="60"/>
      <c r="I14" s="97"/>
    </row>
    <row r="15" spans="2:9" s="54" customFormat="1" ht="12.75">
      <c r="B15" s="94"/>
      <c r="C15" s="108" t="s">
        <v>60</v>
      </c>
      <c r="D15" s="116" t="s">
        <v>108</v>
      </c>
      <c r="E15" s="117" t="s">
        <v>109</v>
      </c>
      <c r="F15" s="110"/>
      <c r="G15" s="98"/>
      <c r="H15" s="63"/>
      <c r="I15" s="95"/>
    </row>
    <row r="16" spans="2:9" ht="12.75">
      <c r="B16" s="91"/>
      <c r="C16" s="64" t="s">
        <v>63</v>
      </c>
      <c r="D16" s="82">
        <v>-5000</v>
      </c>
      <c r="E16" s="85">
        <v>-3000</v>
      </c>
      <c r="F16" s="111"/>
      <c r="G16" s="64"/>
      <c r="H16" s="64"/>
      <c r="I16" s="93"/>
    </row>
    <row r="17" spans="2:9" ht="12.75">
      <c r="B17" s="91"/>
      <c r="C17" s="64" t="s">
        <v>20</v>
      </c>
      <c r="D17" s="82">
        <v>5000000</v>
      </c>
      <c r="E17" s="85">
        <v>4000000</v>
      </c>
      <c r="F17" s="111"/>
      <c r="G17" s="64"/>
      <c r="H17" s="64"/>
      <c r="I17" s="93"/>
    </row>
    <row r="18" spans="2:9" ht="12.75">
      <c r="B18" s="91"/>
      <c r="C18" s="64" t="s">
        <v>54</v>
      </c>
      <c r="D18" s="82">
        <v>1000000</v>
      </c>
      <c r="E18" s="85">
        <v>800000</v>
      </c>
      <c r="F18" s="111"/>
      <c r="G18" s="64"/>
      <c r="H18" s="99"/>
      <c r="I18" s="93"/>
    </row>
    <row r="19" spans="2:9" ht="12.75">
      <c r="B19" s="91"/>
      <c r="C19" s="64" t="s">
        <v>21</v>
      </c>
      <c r="D19" s="82">
        <v>9000</v>
      </c>
      <c r="E19" s="60"/>
      <c r="F19" s="60"/>
      <c r="G19" s="64"/>
      <c r="H19" s="64"/>
      <c r="I19" s="93"/>
    </row>
    <row r="20" spans="2:9" ht="12" hidden="1">
      <c r="B20" s="91"/>
      <c r="C20" s="64" t="s">
        <v>22</v>
      </c>
      <c r="D20" s="82">
        <v>0</v>
      </c>
      <c r="E20" s="60"/>
      <c r="F20" s="60"/>
      <c r="G20" s="64"/>
      <c r="H20" s="64"/>
      <c r="I20" s="93"/>
    </row>
    <row r="21" spans="2:9" ht="7.5" customHeight="1">
      <c r="B21" s="91"/>
      <c r="C21" s="64"/>
      <c r="D21" s="61"/>
      <c r="E21" s="60"/>
      <c r="F21" s="60"/>
      <c r="G21" s="64"/>
      <c r="H21" s="64"/>
      <c r="I21" s="93"/>
    </row>
    <row r="22" spans="2:9" s="54" customFormat="1" ht="12.75">
      <c r="B22" s="94"/>
      <c r="C22" s="108" t="s">
        <v>61</v>
      </c>
      <c r="D22" s="62"/>
      <c r="E22" s="63"/>
      <c r="F22" s="110"/>
      <c r="G22" s="63"/>
      <c r="H22" s="63"/>
      <c r="I22" s="95"/>
    </row>
    <row r="23" spans="2:9" ht="12" hidden="1">
      <c r="B23" s="91"/>
      <c r="C23" s="64" t="s">
        <v>55</v>
      </c>
      <c r="D23" s="56">
        <v>0</v>
      </c>
      <c r="E23" s="64"/>
      <c r="F23" s="60"/>
      <c r="G23" s="64"/>
      <c r="H23" s="64"/>
      <c r="I23" s="93"/>
    </row>
    <row r="24" spans="2:9" ht="12.75">
      <c r="B24" s="91"/>
      <c r="C24" s="64" t="s">
        <v>110</v>
      </c>
      <c r="D24" s="65">
        <v>0.2</v>
      </c>
      <c r="E24" s="64"/>
      <c r="F24" s="60"/>
      <c r="G24" s="64"/>
      <c r="H24" s="64"/>
      <c r="I24" s="93"/>
    </row>
    <row r="25" spans="2:9" ht="7.5" customHeight="1">
      <c r="B25" s="91"/>
      <c r="C25" s="64"/>
      <c r="D25" s="64"/>
      <c r="E25" s="64"/>
      <c r="F25" s="60"/>
      <c r="G25" s="64"/>
      <c r="H25" s="64"/>
      <c r="I25" s="93"/>
    </row>
    <row r="26" spans="2:9" s="53" customFormat="1" ht="12.75" hidden="1">
      <c r="B26" s="100"/>
      <c r="C26" s="92" t="s">
        <v>12</v>
      </c>
      <c r="D26" s="92"/>
      <c r="E26" s="92"/>
      <c r="F26" s="112"/>
      <c r="G26" s="92"/>
      <c r="H26" s="92"/>
      <c r="I26" s="101"/>
    </row>
    <row r="27" spans="2:9" ht="12" hidden="1">
      <c r="B27" s="91"/>
      <c r="C27" s="64" t="s">
        <v>13</v>
      </c>
      <c r="D27" s="64"/>
      <c r="E27" s="64"/>
      <c r="F27" s="60"/>
      <c r="G27" s="67" t="s">
        <v>15</v>
      </c>
      <c r="H27" s="64"/>
      <c r="I27" s="93"/>
    </row>
    <row r="28" spans="2:9" ht="12" hidden="1">
      <c r="B28" s="91"/>
      <c r="C28" s="64" t="s">
        <v>14</v>
      </c>
      <c r="D28" s="64"/>
      <c r="E28" s="64"/>
      <c r="F28" s="60"/>
      <c r="G28" s="67" t="s">
        <v>15</v>
      </c>
      <c r="H28" s="64"/>
      <c r="I28" s="93"/>
    </row>
    <row r="29" spans="2:9" ht="12" hidden="1">
      <c r="B29" s="91"/>
      <c r="C29" s="64" t="s">
        <v>16</v>
      </c>
      <c r="D29" s="64"/>
      <c r="E29" s="64"/>
      <c r="F29" s="60"/>
      <c r="G29" s="67" t="s">
        <v>15</v>
      </c>
      <c r="H29" s="64"/>
      <c r="I29" s="93"/>
    </row>
    <row r="30" spans="2:9" ht="12" hidden="1">
      <c r="B30" s="91"/>
      <c r="C30" s="64"/>
      <c r="D30" s="64"/>
      <c r="E30" s="64"/>
      <c r="F30" s="60"/>
      <c r="G30" s="64"/>
      <c r="H30" s="64"/>
      <c r="I30" s="93"/>
    </row>
    <row r="31" spans="2:9" ht="12.75">
      <c r="B31" s="91"/>
      <c r="C31" s="108" t="s">
        <v>155</v>
      </c>
      <c r="D31" s="64"/>
      <c r="E31" s="64"/>
      <c r="F31" s="60"/>
      <c r="G31" s="64"/>
      <c r="H31" s="64"/>
      <c r="I31" s="93"/>
    </row>
    <row r="32" spans="2:9" ht="12" hidden="1">
      <c r="B32" s="91"/>
      <c r="C32" s="64" t="s">
        <v>79</v>
      </c>
      <c r="D32" s="75">
        <v>0.73</v>
      </c>
      <c r="E32" s="64"/>
      <c r="F32" s="60"/>
      <c r="G32" s="64"/>
      <c r="H32" s="64"/>
      <c r="I32" s="93"/>
    </row>
    <row r="33" spans="2:9" ht="12.75">
      <c r="B33" s="91"/>
      <c r="C33" s="64" t="s">
        <v>80</v>
      </c>
      <c r="D33" s="68">
        <v>0.02</v>
      </c>
      <c r="E33" s="64"/>
      <c r="F33" s="60"/>
      <c r="G33" s="64"/>
      <c r="H33" s="64"/>
      <c r="I33" s="93"/>
    </row>
    <row r="34" spans="2:9" ht="12.75">
      <c r="B34" s="91"/>
      <c r="C34" s="64" t="s">
        <v>47</v>
      </c>
      <c r="D34" s="86">
        <v>700</v>
      </c>
      <c r="E34" s="64"/>
      <c r="F34" s="60"/>
      <c r="G34" s="64"/>
      <c r="H34" s="64"/>
      <c r="I34" s="93"/>
    </row>
    <row r="35" spans="2:9" ht="7.5" customHeight="1">
      <c r="B35" s="91"/>
      <c r="C35" s="64"/>
      <c r="D35" s="64"/>
      <c r="E35" s="64"/>
      <c r="F35" s="60"/>
      <c r="G35" s="76"/>
      <c r="H35" s="64"/>
      <c r="I35" s="93"/>
    </row>
    <row r="36" spans="2:9" s="53" customFormat="1" ht="12.75" hidden="1">
      <c r="B36" s="100"/>
      <c r="C36" s="92" t="s">
        <v>50</v>
      </c>
      <c r="D36" s="92"/>
      <c r="E36" s="92"/>
      <c r="F36" s="112"/>
      <c r="G36" s="92"/>
      <c r="H36" s="92"/>
      <c r="I36" s="101"/>
    </row>
    <row r="37" spans="2:9" ht="12" hidden="1">
      <c r="B37" s="91"/>
      <c r="C37" s="64" t="s">
        <v>51</v>
      </c>
      <c r="D37" s="64"/>
      <c r="E37" s="64"/>
      <c r="F37" s="60"/>
      <c r="G37" s="64"/>
      <c r="H37" s="67" t="s">
        <v>87</v>
      </c>
      <c r="I37" s="93"/>
    </row>
    <row r="38" spans="2:9" ht="12" hidden="1">
      <c r="B38" s="91"/>
      <c r="C38" s="64" t="s">
        <v>89</v>
      </c>
      <c r="D38" s="64"/>
      <c r="E38" s="64"/>
      <c r="F38" s="60"/>
      <c r="G38" s="64"/>
      <c r="H38" s="77"/>
      <c r="I38" s="93"/>
    </row>
    <row r="39" spans="2:9" ht="12" hidden="1">
      <c r="B39" s="91"/>
      <c r="C39" s="64" t="s">
        <v>45</v>
      </c>
      <c r="D39" s="66"/>
      <c r="E39" s="64"/>
      <c r="F39" s="60"/>
      <c r="G39" s="64"/>
      <c r="H39" s="67" t="s">
        <v>87</v>
      </c>
      <c r="I39" s="93"/>
    </row>
    <row r="40" spans="2:9" ht="12" hidden="1">
      <c r="B40" s="91"/>
      <c r="C40" s="64" t="s">
        <v>76</v>
      </c>
      <c r="D40" s="66"/>
      <c r="E40" s="64"/>
      <c r="F40" s="60"/>
      <c r="G40" s="64"/>
      <c r="H40" s="68"/>
      <c r="I40" s="93"/>
    </row>
    <row r="41" spans="2:9" ht="12" hidden="1">
      <c r="B41" s="91"/>
      <c r="C41" s="64" t="s">
        <v>9</v>
      </c>
      <c r="D41" s="66"/>
      <c r="E41" s="64"/>
      <c r="F41" s="60"/>
      <c r="G41" s="64"/>
      <c r="H41" s="69">
        <v>1</v>
      </c>
      <c r="I41" s="93"/>
    </row>
    <row r="42" spans="2:9" ht="12" hidden="1">
      <c r="B42" s="91"/>
      <c r="C42" s="64" t="s">
        <v>53</v>
      </c>
      <c r="D42" s="66"/>
      <c r="E42" s="64"/>
      <c r="F42" s="60"/>
      <c r="G42" s="64"/>
      <c r="H42" s="70"/>
      <c r="I42" s="93"/>
    </row>
    <row r="43" spans="2:9" ht="12" hidden="1">
      <c r="B43" s="91"/>
      <c r="C43" s="64"/>
      <c r="D43" s="66"/>
      <c r="E43" s="64"/>
      <c r="F43" s="60"/>
      <c r="G43" s="64"/>
      <c r="H43" s="71"/>
      <c r="I43" s="93"/>
    </row>
    <row r="44" spans="2:9" ht="12.75">
      <c r="B44" s="91"/>
      <c r="C44" s="108" t="s">
        <v>156</v>
      </c>
      <c r="D44" s="64"/>
      <c r="E44" s="64"/>
      <c r="F44" s="60"/>
      <c r="G44" s="64"/>
      <c r="H44" s="64"/>
      <c r="I44" s="93"/>
    </row>
    <row r="45" spans="2:9" ht="12.75">
      <c r="B45" s="91"/>
      <c r="C45" s="64" t="s">
        <v>178</v>
      </c>
      <c r="D45" s="64"/>
      <c r="E45" s="78">
        <v>0.01</v>
      </c>
      <c r="F45" s="113"/>
      <c r="G45" s="63" t="s">
        <v>82</v>
      </c>
      <c r="H45" s="64"/>
      <c r="I45" s="93"/>
    </row>
    <row r="46" spans="2:9" ht="12.75">
      <c r="B46" s="91"/>
      <c r="C46" s="64" t="s">
        <v>17</v>
      </c>
      <c r="D46" s="64"/>
      <c r="E46" s="68">
        <v>0.02</v>
      </c>
      <c r="F46" s="115"/>
      <c r="G46" s="59">
        <v>2</v>
      </c>
      <c r="H46" s="64"/>
      <c r="I46" s="93"/>
    </row>
    <row r="47" spans="2:9" ht="12.75">
      <c r="B47" s="91"/>
      <c r="C47" s="64" t="s">
        <v>179</v>
      </c>
      <c r="D47" s="64"/>
      <c r="E47" s="68">
        <v>0.2</v>
      </c>
      <c r="F47" s="109"/>
      <c r="G47" s="64"/>
      <c r="H47" s="64"/>
      <c r="I47" s="93"/>
    </row>
    <row r="48" spans="2:9" ht="12.75">
      <c r="B48" s="91"/>
      <c r="C48" s="64" t="s">
        <v>66</v>
      </c>
      <c r="D48" s="64"/>
      <c r="E48" s="79">
        <v>1</v>
      </c>
      <c r="F48" s="114"/>
      <c r="G48" s="64"/>
      <c r="H48" s="64"/>
      <c r="I48" s="93"/>
    </row>
    <row r="49" spans="2:9" ht="12.75">
      <c r="B49" s="91"/>
      <c r="C49" s="64" t="s">
        <v>67</v>
      </c>
      <c r="D49" s="64"/>
      <c r="E49" s="68">
        <v>0.02</v>
      </c>
      <c r="F49" s="109"/>
      <c r="G49" s="102"/>
      <c r="H49" s="64"/>
      <c r="I49" s="93"/>
    </row>
    <row r="50" spans="2:9" ht="12.75">
      <c r="B50" s="91"/>
      <c r="C50" s="64" t="s">
        <v>145</v>
      </c>
      <c r="D50" s="64"/>
      <c r="E50" s="68">
        <v>0.1</v>
      </c>
      <c r="F50" s="109"/>
      <c r="G50" s="102"/>
      <c r="H50" s="64"/>
      <c r="I50" s="93"/>
    </row>
    <row r="51" spans="2:9" ht="12.75">
      <c r="B51" s="91"/>
      <c r="C51" s="64" t="s">
        <v>180</v>
      </c>
      <c r="D51" s="64"/>
      <c r="E51" s="87">
        <f>(1-E47)*E50+E47*E49*(1-D24)</f>
        <v>0.08320000000000001</v>
      </c>
      <c r="F51" s="109"/>
      <c r="G51" s="64"/>
      <c r="H51" s="64"/>
      <c r="I51" s="93"/>
    </row>
    <row r="52" spans="2:9" ht="7.5" customHeight="1">
      <c r="B52" s="91"/>
      <c r="C52" s="64"/>
      <c r="D52" s="64"/>
      <c r="E52" s="64"/>
      <c r="F52" s="60"/>
      <c r="G52" s="64"/>
      <c r="H52" s="64"/>
      <c r="I52" s="93"/>
    </row>
    <row r="53" spans="2:9" ht="12.75">
      <c r="B53" s="91"/>
      <c r="C53" s="108" t="s">
        <v>157</v>
      </c>
      <c r="D53" s="64"/>
      <c r="E53" s="64"/>
      <c r="F53" s="60"/>
      <c r="G53" s="64"/>
      <c r="H53" s="64"/>
      <c r="I53" s="93"/>
    </row>
    <row r="54" spans="2:9" ht="12.75">
      <c r="B54" s="91"/>
      <c r="C54" s="64" t="s">
        <v>181</v>
      </c>
      <c r="D54" s="64"/>
      <c r="E54" s="80">
        <v>2000000</v>
      </c>
      <c r="F54" s="60"/>
      <c r="H54" s="64"/>
      <c r="I54" s="93"/>
    </row>
    <row r="55" spans="2:10" ht="12" hidden="1">
      <c r="B55" s="91"/>
      <c r="C55" s="64" t="s">
        <v>111</v>
      </c>
      <c r="D55" s="64"/>
      <c r="E55" s="64"/>
      <c r="F55" s="60"/>
      <c r="G55" s="58">
        <v>0</v>
      </c>
      <c r="H55" s="64"/>
      <c r="I55" s="93"/>
      <c r="J55" s="81"/>
    </row>
    <row r="56" spans="2:9" ht="12" customHeight="1" hidden="1">
      <c r="B56" s="91"/>
      <c r="C56" s="64" t="s">
        <v>104</v>
      </c>
      <c r="D56" s="64"/>
      <c r="E56" s="64"/>
      <c r="F56" s="60"/>
      <c r="G56" s="67" t="s">
        <v>15</v>
      </c>
      <c r="H56" s="64"/>
      <c r="I56" s="93"/>
    </row>
    <row r="57" spans="2:9" ht="7.5" customHeight="1">
      <c r="B57" s="91"/>
      <c r="C57" s="64"/>
      <c r="D57" s="64"/>
      <c r="E57" s="64"/>
      <c r="F57" s="60"/>
      <c r="G57" s="64"/>
      <c r="H57" s="64"/>
      <c r="I57" s="93"/>
    </row>
    <row r="58" spans="2:9" s="53" customFormat="1" ht="12.75">
      <c r="B58" s="100"/>
      <c r="C58" s="108" t="s">
        <v>158</v>
      </c>
      <c r="D58" s="92"/>
      <c r="E58" s="92"/>
      <c r="F58" s="92"/>
      <c r="G58" s="92"/>
      <c r="H58" s="92"/>
      <c r="I58" s="101"/>
    </row>
    <row r="59" spans="2:9" ht="12.75">
      <c r="B59" s="91"/>
      <c r="C59" s="64" t="s">
        <v>85</v>
      </c>
      <c r="D59" s="64"/>
      <c r="E59" s="77">
        <v>0.02</v>
      </c>
      <c r="F59" s="64"/>
      <c r="H59" s="64"/>
      <c r="I59" s="93"/>
    </row>
    <row r="60" spans="2:9" ht="12.75">
      <c r="B60" s="91"/>
      <c r="C60" s="64" t="s">
        <v>86</v>
      </c>
      <c r="D60" s="64"/>
      <c r="E60" s="77">
        <v>0.07</v>
      </c>
      <c r="F60" s="64"/>
      <c r="H60" s="64"/>
      <c r="I60" s="93"/>
    </row>
    <row r="61" spans="2:9" ht="7.5" customHeight="1">
      <c r="B61" s="91"/>
      <c r="C61" s="64"/>
      <c r="D61" s="64"/>
      <c r="E61" s="64"/>
      <c r="F61" s="64"/>
      <c r="G61" s="64"/>
      <c r="H61" s="64"/>
      <c r="I61" s="93"/>
    </row>
    <row r="62" spans="2:9" ht="12.75">
      <c r="B62" s="91"/>
      <c r="C62" s="108" t="s">
        <v>159</v>
      </c>
      <c r="D62" s="64"/>
      <c r="E62" s="64"/>
      <c r="F62" s="64"/>
      <c r="G62" s="64"/>
      <c r="H62" s="64"/>
      <c r="I62" s="93"/>
    </row>
    <row r="63" spans="2:9" ht="12.75">
      <c r="B63" s="91"/>
      <c r="C63" s="103" t="s">
        <v>52</v>
      </c>
      <c r="D63" s="64" t="s">
        <v>68</v>
      </c>
      <c r="E63" s="64"/>
      <c r="F63" s="64"/>
      <c r="G63" s="64"/>
      <c r="H63" s="64"/>
      <c r="I63" s="93"/>
    </row>
    <row r="64" spans="2:9" ht="12.75">
      <c r="B64" s="91"/>
      <c r="C64" s="103">
        <v>1</v>
      </c>
      <c r="D64" s="72">
        <v>0.04</v>
      </c>
      <c r="E64" s="64"/>
      <c r="F64" s="64"/>
      <c r="G64" s="64"/>
      <c r="H64" s="64"/>
      <c r="I64" s="93"/>
    </row>
    <row r="65" spans="2:9" ht="12.75">
      <c r="B65" s="91"/>
      <c r="C65" s="103">
        <v>2</v>
      </c>
      <c r="D65" s="72">
        <v>0.04</v>
      </c>
      <c r="E65" s="64"/>
      <c r="F65" s="64"/>
      <c r="G65" s="64"/>
      <c r="H65" s="64"/>
      <c r="I65" s="93"/>
    </row>
    <row r="66" spans="2:9" ht="12.75">
      <c r="B66" s="91"/>
      <c r="C66" s="103">
        <v>3</v>
      </c>
      <c r="D66" s="72">
        <v>0.04</v>
      </c>
      <c r="E66" s="64"/>
      <c r="F66" s="64"/>
      <c r="G66" s="64"/>
      <c r="H66" s="64"/>
      <c r="I66" s="93"/>
    </row>
    <row r="67" spans="2:9" ht="12.75">
      <c r="B67" s="91"/>
      <c r="C67" s="103">
        <v>4</v>
      </c>
      <c r="D67" s="72">
        <v>0.04</v>
      </c>
      <c r="E67" s="64"/>
      <c r="F67" s="64"/>
      <c r="G67" s="64"/>
      <c r="H67" s="64"/>
      <c r="I67" s="93"/>
    </row>
    <row r="68" spans="2:9" ht="12.75">
      <c r="B68" s="91"/>
      <c r="C68" s="103">
        <v>5</v>
      </c>
      <c r="D68" s="72">
        <v>0.04</v>
      </c>
      <c r="E68" s="64"/>
      <c r="F68" s="64"/>
      <c r="G68" s="64"/>
      <c r="H68" s="64"/>
      <c r="I68" s="93"/>
    </row>
    <row r="69" spans="2:9" ht="12.75">
      <c r="B69" s="91"/>
      <c r="C69" s="103">
        <v>6</v>
      </c>
      <c r="D69" s="72">
        <v>0.04</v>
      </c>
      <c r="E69" s="64"/>
      <c r="F69" s="64"/>
      <c r="G69" s="64"/>
      <c r="H69" s="64"/>
      <c r="I69" s="93"/>
    </row>
    <row r="70" spans="2:9" ht="12.75">
      <c r="B70" s="91"/>
      <c r="C70" s="103">
        <v>7</v>
      </c>
      <c r="D70" s="72">
        <v>0.04</v>
      </c>
      <c r="E70" s="64"/>
      <c r="F70" s="64"/>
      <c r="G70" s="64"/>
      <c r="H70" s="64"/>
      <c r="I70" s="93"/>
    </row>
    <row r="71" spans="2:9" ht="12.75">
      <c r="B71" s="91"/>
      <c r="C71" s="103">
        <v>8</v>
      </c>
      <c r="D71" s="72">
        <v>0.04</v>
      </c>
      <c r="E71" s="64"/>
      <c r="F71" s="64"/>
      <c r="G71" s="64"/>
      <c r="H71" s="64"/>
      <c r="I71" s="93"/>
    </row>
    <row r="72" spans="2:9" ht="12.75">
      <c r="B72" s="91"/>
      <c r="C72" s="103">
        <v>9</v>
      </c>
      <c r="D72" s="72">
        <v>0.04</v>
      </c>
      <c r="E72" s="64"/>
      <c r="F72" s="64"/>
      <c r="G72" s="64"/>
      <c r="H72" s="64"/>
      <c r="I72" s="93"/>
    </row>
    <row r="73" spans="2:9" ht="13.5" thickBot="1">
      <c r="B73" s="91"/>
      <c r="C73" s="103">
        <v>10</v>
      </c>
      <c r="D73" s="73">
        <v>0.04</v>
      </c>
      <c r="E73" s="64"/>
      <c r="F73" s="64"/>
      <c r="G73" s="64"/>
      <c r="H73" s="64"/>
      <c r="I73" s="93"/>
    </row>
    <row r="74" spans="2:9" ht="13.5" thickBot="1">
      <c r="B74" s="91"/>
      <c r="C74" s="64" t="s">
        <v>69</v>
      </c>
      <c r="D74" s="74">
        <f>((1+D64)*(1+D65)*(1+D66)*(1+D67)*(1+D68)*(1+D69)*(1+D70)*(1+D71)*(1+D72)*(1+D73))^(1/10)-1</f>
        <v>0.040000000000000036</v>
      </c>
      <c r="E74" s="64"/>
      <c r="F74" s="64"/>
      <c r="G74" s="64"/>
      <c r="H74" s="64"/>
      <c r="I74" s="93"/>
    </row>
    <row r="75" spans="2:9" ht="7.5" customHeight="1" thickBot="1">
      <c r="B75" s="104"/>
      <c r="C75" s="105"/>
      <c r="D75" s="105"/>
      <c r="E75" s="105"/>
      <c r="F75" s="105"/>
      <c r="G75" s="105"/>
      <c r="H75" s="105"/>
      <c r="I75" s="106"/>
    </row>
    <row r="77" ht="12.75"/>
    <row r="78" ht="12.75"/>
    <row r="79" ht="12.75"/>
    <row r="80" ht="12.75"/>
    <row r="83" ht="12.75"/>
    <row r="84" ht="12.75"/>
  </sheetData>
  <sheetProtection/>
  <mergeCells count="3">
    <mergeCell ref="C3:H3"/>
    <mergeCell ref="C5:H5"/>
    <mergeCell ref="C6:H6"/>
  </mergeCells>
  <printOptions/>
  <pageMargins left="0.75" right="0.75" top="1" bottom="1" header="0.5" footer="0.5"/>
  <pageSetup fitToHeight="1" fitToWidth="1" horizontalDpi="300" verticalDpi="30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P58"/>
  <sheetViews>
    <sheetView view="pageBreakPreview" zoomScale="115" zoomScaleSheetLayoutView="115" zoomScalePageLayoutView="0" workbookViewId="0" topLeftCell="A30">
      <selection activeCell="H17" sqref="H17"/>
    </sheetView>
  </sheetViews>
  <sheetFormatPr defaultColWidth="11.375" defaultRowHeight="12"/>
  <cols>
    <col min="1" max="1" width="11.375" style="0" customWidth="1"/>
    <col min="2" max="2" width="1.37890625" style="0" customWidth="1"/>
    <col min="3" max="3" width="18.00390625" style="0" bestFit="1" customWidth="1"/>
    <col min="4" max="4" width="15.75390625" style="0" customWidth="1"/>
    <col min="5" max="5" width="13.00390625" style="0" customWidth="1"/>
    <col min="6" max="6" width="14.25390625" style="0" customWidth="1"/>
    <col min="7" max="7" width="13.125" style="0" customWidth="1"/>
    <col min="8" max="9" width="13.625" style="0" customWidth="1"/>
    <col min="10" max="10" width="13.375" style="0" customWidth="1"/>
    <col min="11" max="11" width="13.125" style="0" customWidth="1"/>
    <col min="12" max="12" width="13.375" style="0" customWidth="1"/>
    <col min="13" max="13" width="13.625" style="0" customWidth="1"/>
    <col min="14" max="14" width="14.25390625" style="0" customWidth="1"/>
    <col min="15" max="15" width="14.875" style="0" customWidth="1"/>
    <col min="16" max="16" width="1.37890625" style="0" customWidth="1"/>
  </cols>
  <sheetData>
    <row r="1" ht="12.75" thickBot="1"/>
    <row r="2" spans="2:16" ht="4.5" customHeight="1">
      <c r="B2" s="120"/>
      <c r="C2" s="121"/>
      <c r="D2" s="121"/>
      <c r="E2" s="121"/>
      <c r="F2" s="121"/>
      <c r="G2" s="121"/>
      <c r="H2" s="121"/>
      <c r="I2" s="121"/>
      <c r="J2" s="121"/>
      <c r="K2" s="121"/>
      <c r="L2" s="121"/>
      <c r="M2" s="121"/>
      <c r="N2" s="121"/>
      <c r="O2" s="121"/>
      <c r="P2" s="122"/>
    </row>
    <row r="3" spans="2:16" ht="12.75" customHeight="1">
      <c r="B3" s="125"/>
      <c r="C3" s="193" t="s">
        <v>169</v>
      </c>
      <c r="D3" s="193"/>
      <c r="E3" s="193"/>
      <c r="F3" s="193"/>
      <c r="G3" s="193"/>
      <c r="H3" s="193"/>
      <c r="I3" s="193"/>
      <c r="J3" s="193"/>
      <c r="K3" s="193"/>
      <c r="L3" s="193"/>
      <c r="M3" s="193"/>
      <c r="N3" s="193"/>
      <c r="O3" s="193"/>
      <c r="P3" s="126"/>
    </row>
    <row r="4" spans="2:16" ht="5.25" customHeight="1">
      <c r="B4" s="125"/>
      <c r="C4" s="30"/>
      <c r="D4" s="30"/>
      <c r="E4" s="30"/>
      <c r="F4" s="30"/>
      <c r="G4" s="30"/>
      <c r="H4" s="30"/>
      <c r="I4" s="30"/>
      <c r="J4" s="30"/>
      <c r="K4" s="30"/>
      <c r="L4" s="30"/>
      <c r="M4" s="30"/>
      <c r="N4" s="30"/>
      <c r="O4" s="30"/>
      <c r="P4" s="126"/>
    </row>
    <row r="5" spans="2:16" s="5" customFormat="1" ht="12">
      <c r="B5" s="123"/>
      <c r="C5" s="9"/>
      <c r="D5" s="32" t="s">
        <v>88</v>
      </c>
      <c r="E5" s="32">
        <v>1</v>
      </c>
      <c r="F5" s="32">
        <v>2</v>
      </c>
      <c r="G5" s="32">
        <v>3</v>
      </c>
      <c r="H5" s="32">
        <v>4</v>
      </c>
      <c r="I5" s="32">
        <v>5</v>
      </c>
      <c r="J5" s="32">
        <v>6</v>
      </c>
      <c r="K5" s="32">
        <v>7</v>
      </c>
      <c r="L5" s="32">
        <v>8</v>
      </c>
      <c r="M5" s="32">
        <v>9</v>
      </c>
      <c r="N5" s="32">
        <v>10</v>
      </c>
      <c r="O5" s="32" t="s">
        <v>97</v>
      </c>
      <c r="P5" s="124"/>
    </row>
    <row r="6" spans="2:16" ht="12">
      <c r="B6" s="125"/>
      <c r="C6" s="2" t="s">
        <v>99</v>
      </c>
      <c r="D6" s="2"/>
      <c r="E6" s="10">
        <f>IF('DCF Input Sheet'!$H$37="Yes",'DCF Input Sheet'!D64,'DCF Input Sheet'!$H$38)</f>
        <v>0.04</v>
      </c>
      <c r="F6" s="10">
        <f>IF('DCF Input Sheet'!$H$37="Yes",'DCF Input Sheet'!D65,'DCF Input Sheet'!$H$38)</f>
        <v>0.04</v>
      </c>
      <c r="G6" s="10">
        <f>IF('DCF Input Sheet'!$H$37="Yes",'DCF Input Sheet'!D66,'DCF Input Sheet'!$H$38)</f>
        <v>0.04</v>
      </c>
      <c r="H6" s="10">
        <f>IF('DCF Input Sheet'!$H$37="Yes",'DCF Input Sheet'!D67,'DCF Input Sheet'!$H$38)</f>
        <v>0.04</v>
      </c>
      <c r="I6" s="10">
        <f>IF('DCF Input Sheet'!$H$37="Yes",'DCF Input Sheet'!D68,'DCF Input Sheet'!$H$38)</f>
        <v>0.04</v>
      </c>
      <c r="J6" s="10">
        <f>IF('DCF Input Sheet'!$H$37="Yes",'DCF Input Sheet'!D69,'DCF Input Sheet'!$H$38)</f>
        <v>0.04</v>
      </c>
      <c r="K6" s="10">
        <f>IF('DCF Input Sheet'!$H$37="Yes",'DCF Input Sheet'!D70,'DCF Input Sheet'!$H$38)</f>
        <v>0.04</v>
      </c>
      <c r="L6" s="10">
        <f>IF('DCF Input Sheet'!$H$37="Yes",'DCF Input Sheet'!D71,'DCF Input Sheet'!$H$38)</f>
        <v>0.04</v>
      </c>
      <c r="M6" s="10">
        <f>IF('DCF Input Sheet'!$H$37="Yes",'DCF Input Sheet'!D72,'DCF Input Sheet'!$H$38)</f>
        <v>0.04</v>
      </c>
      <c r="N6" s="10">
        <f>IF('DCF Input Sheet'!$H$37="Yes",'DCF Input Sheet'!D73,'DCF Input Sheet'!$H$38)</f>
        <v>0.04</v>
      </c>
      <c r="O6" s="11">
        <f>'DCF Input Sheet'!E45</f>
        <v>0.01</v>
      </c>
      <c r="P6" s="126"/>
    </row>
    <row r="7" spans="2:16" ht="12">
      <c r="B7" s="125"/>
      <c r="C7" s="2" t="s">
        <v>98</v>
      </c>
      <c r="D7" s="13">
        <f>'DCF Input Sheet'!D13</f>
        <v>9000000</v>
      </c>
      <c r="E7" s="13">
        <f>D7*(1+E6)</f>
        <v>9360000</v>
      </c>
      <c r="F7" s="13">
        <f aca="true" t="shared" si="0" ref="F7:O7">E7*(1+F6)</f>
        <v>9734400</v>
      </c>
      <c r="G7" s="13">
        <f t="shared" si="0"/>
        <v>10123776</v>
      </c>
      <c r="H7" s="13">
        <f t="shared" si="0"/>
        <v>10528727.040000001</v>
      </c>
      <c r="I7" s="13">
        <f t="shared" si="0"/>
        <v>10949876.121600002</v>
      </c>
      <c r="J7" s="13">
        <f t="shared" si="0"/>
        <v>11387871.166464003</v>
      </c>
      <c r="K7" s="13">
        <f t="shared" si="0"/>
        <v>11843386.013122564</v>
      </c>
      <c r="L7" s="13">
        <f t="shared" si="0"/>
        <v>12317121.453647466</v>
      </c>
      <c r="M7" s="13">
        <f t="shared" si="0"/>
        <v>12809806.311793365</v>
      </c>
      <c r="N7" s="13">
        <f t="shared" si="0"/>
        <v>13322198.5642651</v>
      </c>
      <c r="O7" s="13">
        <f t="shared" si="0"/>
        <v>13455420.549907751</v>
      </c>
      <c r="P7" s="126"/>
    </row>
    <row r="8" spans="2:16" ht="12">
      <c r="B8" s="125"/>
      <c r="C8" s="2" t="s">
        <v>100</v>
      </c>
      <c r="D8" s="10">
        <f>D9/D7</f>
        <v>0.1111111111111111</v>
      </c>
      <c r="E8" s="10">
        <f>D8*(1+'DCF Input Sheet'!$G$46-1)/(1+'DCF Input Sheet'!$G$46)+$O$8*1/(1+'DCF Input Sheet'!$G$46)</f>
        <v>0.08074074074074074</v>
      </c>
      <c r="F8" s="10">
        <f>E8*(1+'DCF Input Sheet'!$G$46-1)/(1+'DCF Input Sheet'!$G$46)+$O$8*1/(1+'DCF Input Sheet'!$G$46)</f>
        <v>0.06049382716049383</v>
      </c>
      <c r="G8" s="10">
        <f>F8*(1+'DCF Input Sheet'!$G$46-1)/(1+'DCF Input Sheet'!$G$46)+$O$8*1/(1+'DCF Input Sheet'!$G$46)</f>
        <v>0.04699588477366255</v>
      </c>
      <c r="H8" s="10">
        <f>G8*(1+'DCF Input Sheet'!$G$46-1)/(1+'DCF Input Sheet'!$G$46)+$O$8*1/(1+'DCF Input Sheet'!$G$46)</f>
        <v>0.037997256515775034</v>
      </c>
      <c r="I8" s="10">
        <f>H8*(1+'DCF Input Sheet'!$G$46-1)/(1+'DCF Input Sheet'!$G$46)+$O$8*1/(1+'DCF Input Sheet'!$G$46)</f>
        <v>0.03199817101051669</v>
      </c>
      <c r="J8" s="10">
        <f>I8*(1+'DCF Input Sheet'!$G$46-1)/(1+'DCF Input Sheet'!$G$46)+$O$8*1/(1+'DCF Input Sheet'!$G$46)</f>
        <v>0.027998780673677795</v>
      </c>
      <c r="K8" s="10">
        <f>J8*(1+'DCF Input Sheet'!$G$46-1)/(1+'DCF Input Sheet'!$G$46)+$O$8*1/(1+'DCF Input Sheet'!$G$46)</f>
        <v>0.02533252044911853</v>
      </c>
      <c r="L8" s="10">
        <f>K8*(1+'DCF Input Sheet'!$G$46-1)/(1+'DCF Input Sheet'!$G$46)+$O$8*1/(1+'DCF Input Sheet'!$G$46)</f>
        <v>0.02355501363274569</v>
      </c>
      <c r="M8" s="10">
        <f>L8*(1+'DCF Input Sheet'!$G$46-1)/(1+'DCF Input Sheet'!$G$46)+$O$8*1/(1+'DCF Input Sheet'!$G$46)</f>
        <v>0.022370009088497126</v>
      </c>
      <c r="N8" s="10">
        <f>M8*(1+'DCF Input Sheet'!$G$46-1)/(1+'DCF Input Sheet'!$G$46)+$O$8*1/(1+'DCF Input Sheet'!$G$46)</f>
        <v>0.021580006058998083</v>
      </c>
      <c r="O8" s="4">
        <f>'DCF Input Sheet'!E46</f>
        <v>0.02</v>
      </c>
      <c r="P8" s="126"/>
    </row>
    <row r="9" spans="2:16" ht="12">
      <c r="B9" s="125"/>
      <c r="C9" s="2" t="s">
        <v>101</v>
      </c>
      <c r="D9" s="12">
        <f>IF('DCF Input Sheet'!G27="Yes",(IF('DCF Input Sheet'!G28="Yes",(IF('DCF Input Sheet'!G29="Yes",'DCF Input Sheet'!D9+#REF!+#REF!+#REF!,'DCF Input Sheet'!D9+#REF!+#REF!)),(IF('DCF Input Sheet'!G29="Yes",'DCF Input Sheet'!D9+#REF!+#REF!,'DCF Input Sheet'!D9+#REF!)))),(IF('DCF Input Sheet'!G28="Yes",(IF('DCF Input Sheet'!G29="Yes",'DCF Input Sheet'!D9+#REF!+#REF!,'DCF Input Sheet'!D9+#REF!)),IF('DCF Input Sheet'!G29="Yes",'DCF Input Sheet'!D9+#REF!,'DCF Input Sheet'!D9))))</f>
        <v>1000000</v>
      </c>
      <c r="E9" s="13">
        <f>E8*E7</f>
        <v>755733.3333333333</v>
      </c>
      <c r="F9" s="13">
        <f aca="true" t="shared" si="1" ref="F9:O9">F8*F7</f>
        <v>588871.1111111111</v>
      </c>
      <c r="G9" s="13">
        <f t="shared" si="1"/>
        <v>475775.8103703704</v>
      </c>
      <c r="H9" s="13">
        <f t="shared" si="1"/>
        <v>400062.74212345685</v>
      </c>
      <c r="I9" s="13">
        <f t="shared" si="1"/>
        <v>350376.00868293014</v>
      </c>
      <c r="J9" s="13">
        <f t="shared" si="1"/>
        <v>318846.50712992495</v>
      </c>
      <c r="K9" s="13">
        <f t="shared" si="1"/>
        <v>300022.81836423173</v>
      </c>
      <c r="L9" s="13">
        <f t="shared" si="1"/>
        <v>290129.96375685045</v>
      </c>
      <c r="M9" s="13">
        <f t="shared" si="1"/>
        <v>286555.4836167054</v>
      </c>
      <c r="N9" s="13">
        <f t="shared" si="1"/>
        <v>287493.12573601643</v>
      </c>
      <c r="O9" s="13">
        <f t="shared" si="1"/>
        <v>269108.410998155</v>
      </c>
      <c r="P9" s="126"/>
    </row>
    <row r="10" spans="2:16" ht="12">
      <c r="B10" s="125"/>
      <c r="C10" s="2" t="s">
        <v>102</v>
      </c>
      <c r="D10" s="13">
        <f>IF(D9&lt;0,0,IF(D16&gt;D9,0,(D9-D16)*'DCF Input Sheet'!$D$24))</f>
        <v>200000</v>
      </c>
      <c r="E10" s="13">
        <f>IF(E9&lt;0,0,IF(D16&gt;E9,0,(E9-D16)*'DCF Input Sheet'!$D$24))</f>
        <v>151146.66666666666</v>
      </c>
      <c r="F10" s="13">
        <f>IF(F9&lt;0,0,IF(E16&gt;F9,0,(F9-E16)*'DCF Input Sheet'!$D$24))</f>
        <v>117774.22222222223</v>
      </c>
      <c r="G10" s="13">
        <f>IF(G9&lt;0,0,IF(F16&gt;G9,0,(G9-F16)*'DCF Input Sheet'!$D$24))</f>
        <v>95155.16207407409</v>
      </c>
      <c r="H10" s="13">
        <f>IF(H9&lt;0,0,IF(G16&gt;H9,0,(H9-G16)*'DCF Input Sheet'!$D$24))</f>
        <v>80012.54842469137</v>
      </c>
      <c r="I10" s="13">
        <f>IF(I9&lt;0,0,IF(H16&gt;I9,0,(I9-H16)*'DCF Input Sheet'!$D$24))</f>
        <v>70075.20173658604</v>
      </c>
      <c r="J10" s="13">
        <f>IF(J9&lt;0,0,IF(I16&gt;J9,0,(J9-I16)*'DCF Input Sheet'!$D$24))</f>
        <v>63769.301425984995</v>
      </c>
      <c r="K10" s="13">
        <f>IF(K9&lt;0,0,IF(J16&gt;K9,0,(K9-J16)*'DCF Input Sheet'!$D$24))</f>
        <v>60004.56367284635</v>
      </c>
      <c r="L10" s="13">
        <f>IF(L9&lt;0,0,IF(K16&gt;L9,0,(L9-K16)*'DCF Input Sheet'!$D$24))</f>
        <v>58025.9927513701</v>
      </c>
      <c r="M10" s="13">
        <f>IF(M9&lt;0,0,IF(L16&gt;M9,0,(M9-L16)*'DCF Input Sheet'!$D$24))</f>
        <v>57311.096723341085</v>
      </c>
      <c r="N10" s="13">
        <f>IF(N9&lt;0,0,IF(M16&gt;N9,0,(N9-M16)*'DCF Input Sheet'!$D$24))</f>
        <v>57498.62514720329</v>
      </c>
      <c r="O10" s="13">
        <f>O9*'DCF Input Sheet'!$D$24</f>
        <v>53821.682199631</v>
      </c>
      <c r="P10" s="126"/>
    </row>
    <row r="11" spans="2:16" ht="12">
      <c r="B11" s="125"/>
      <c r="C11" s="2" t="s">
        <v>103</v>
      </c>
      <c r="D11" s="12">
        <f>D9-D10</f>
        <v>800000</v>
      </c>
      <c r="E11" s="12">
        <f>E9-E10</f>
        <v>604586.6666666666</v>
      </c>
      <c r="F11" s="12">
        <f aca="true" t="shared" si="2" ref="F11:O11">F9-F10</f>
        <v>471096.8888888889</v>
      </c>
      <c r="G11" s="12">
        <f t="shared" si="2"/>
        <v>380620.6482962963</v>
      </c>
      <c r="H11" s="12">
        <f t="shared" si="2"/>
        <v>320050.1936987655</v>
      </c>
      <c r="I11" s="12">
        <f t="shared" si="2"/>
        <v>280300.8069463441</v>
      </c>
      <c r="J11" s="12">
        <f t="shared" si="2"/>
        <v>255077.20570393995</v>
      </c>
      <c r="K11" s="12">
        <f t="shared" si="2"/>
        <v>240018.25469138537</v>
      </c>
      <c r="L11" s="12">
        <f t="shared" si="2"/>
        <v>232103.97100548036</v>
      </c>
      <c r="M11" s="12">
        <f t="shared" si="2"/>
        <v>229244.3868933643</v>
      </c>
      <c r="N11" s="12">
        <f t="shared" si="2"/>
        <v>229994.50058881316</v>
      </c>
      <c r="O11" s="12">
        <f t="shared" si="2"/>
        <v>215286.728798524</v>
      </c>
      <c r="P11" s="126"/>
    </row>
    <row r="12" spans="2:16" ht="12">
      <c r="B12" s="125"/>
      <c r="C12" s="2" t="s">
        <v>59</v>
      </c>
      <c r="D12" s="12">
        <f>IF('DCF Input Sheet'!G28="Yes",IF('DCF Input Sheet'!G29="Yes",'DCF Input Sheet'!D12+#REF!+#REF!,'DCF Input Sheet'!D12+#REF!),IF('DCF Input Sheet'!G29="Yes",'DCF Input Sheet'!D12+#REF!,'DCF Input Sheet'!D12))</f>
        <v>4000</v>
      </c>
      <c r="E12" s="13">
        <f>D12*(1+H6)</f>
        <v>4160</v>
      </c>
      <c r="F12" s="13">
        <f aca="true" t="shared" si="3" ref="F12:L12">E12*(1+I6)</f>
        <v>4326.400000000001</v>
      </c>
      <c r="G12" s="13">
        <f t="shared" si="3"/>
        <v>4499.456000000001</v>
      </c>
      <c r="H12" s="13">
        <f t="shared" si="3"/>
        <v>4679.434240000001</v>
      </c>
      <c r="I12" s="13">
        <f t="shared" si="3"/>
        <v>4866.611609600001</v>
      </c>
      <c r="J12" s="13">
        <f t="shared" si="3"/>
        <v>5061.276073984001</v>
      </c>
      <c r="K12" s="13">
        <f t="shared" si="3"/>
        <v>5263.727116943362</v>
      </c>
      <c r="L12" s="13">
        <f t="shared" si="3"/>
        <v>5316.3643881127955</v>
      </c>
      <c r="M12" s="13">
        <f>L12*(1+O6)</f>
        <v>5369.528031993924</v>
      </c>
      <c r="N12" s="13">
        <f>M12*(1+O6)</f>
        <v>5423.223312313863</v>
      </c>
      <c r="O12" s="13">
        <f>N12*(1+O6)</f>
        <v>5477.455545437002</v>
      </c>
      <c r="P12" s="126"/>
    </row>
    <row r="13" spans="2:16" ht="12">
      <c r="B13" s="125"/>
      <c r="C13" s="2" t="s">
        <v>28</v>
      </c>
      <c r="D13" s="12">
        <f>IF('DCF Input Sheet'!G28="Yes",IF('DCF Input Sheet'!G29="Yes",'DCF Input Sheet'!D11+#REF!+#REF!,'DCF Input Sheet'!D11+#REF!),IF('DCF Input Sheet'!G29="Yes",'DCF Input Sheet'!D11+#REF!,'DCF Input Sheet'!D11))</f>
        <v>0</v>
      </c>
      <c r="E13" s="13">
        <f>IF('DCF Input Sheet'!$H$41=1,'DCF Valuation'!D13*(1+'DCF Valuation'!E6),IF('DCF Input Sheet'!$H$41=2,D13*(1+G6),(1/'DCF Input Sheet'!$H$42)*('DCF Valuation'!E7-'DCF Valuation'!D7)+E12-E14))</f>
        <v>0</v>
      </c>
      <c r="F13" s="13">
        <f>IF('DCF Input Sheet'!$H$41=1,'DCF Valuation'!E13*(1+'DCF Valuation'!F6),IF('DCF Input Sheet'!$H$41=2,E13*(1+H6),(1/'DCF Input Sheet'!$H$42)*('DCF Valuation'!F7-'DCF Valuation'!E7)+F12-F14))</f>
        <v>0</v>
      </c>
      <c r="G13" s="13">
        <f>IF('DCF Input Sheet'!$H$41=1,'DCF Valuation'!F13*(1+'DCF Valuation'!G6),IF('DCF Input Sheet'!$H$41=2,F13*(1+I6),(1/'DCF Input Sheet'!$H$42)*('DCF Valuation'!G7-'DCF Valuation'!F7)+G12-G14))</f>
        <v>0</v>
      </c>
      <c r="H13" s="13">
        <f>IF('DCF Input Sheet'!$H$41=1,'DCF Valuation'!G13*(1+'DCF Valuation'!H6),IF('DCF Input Sheet'!$H$41=2,G13*(1+J6),(1/'DCF Input Sheet'!$H$42)*('DCF Valuation'!H7-'DCF Valuation'!G7)+H12-H14))</f>
        <v>0</v>
      </c>
      <c r="I13" s="13">
        <f>IF('DCF Input Sheet'!$H$41=1,'DCF Valuation'!H13*(1+'DCF Valuation'!I6),IF('DCF Input Sheet'!$H$41=2,H13*(1+K6),(1/'DCF Input Sheet'!$H$42)*('DCF Valuation'!I7-'DCF Valuation'!H7)+I12-I14))</f>
        <v>0</v>
      </c>
      <c r="J13" s="13">
        <f>IF('DCF Input Sheet'!$H$41=1,'DCF Valuation'!I13*(1+'DCF Valuation'!J6),IF('DCF Input Sheet'!$H$41=2,I13*(1+L6),(1/'DCF Input Sheet'!$H$42)*('DCF Valuation'!J7-'DCF Valuation'!I7)+J12-J14))</f>
        <v>0</v>
      </c>
      <c r="K13" s="13">
        <f>IF('DCF Input Sheet'!$H$41=1,'DCF Valuation'!J13*(1+'DCF Valuation'!K6),IF('DCF Input Sheet'!$H$41=2,J13*(1+M6),(1/'DCF Input Sheet'!$H$42)*('DCF Valuation'!K7-'DCF Valuation'!J7)+K12-K14))</f>
        <v>0</v>
      </c>
      <c r="L13" s="13">
        <f>IF('DCF Input Sheet'!$H$41=1,'DCF Valuation'!K13*(1+'DCF Valuation'!L6),IF('DCF Input Sheet'!$H$41=2,K13*(1+N6),(1/'DCF Input Sheet'!$H$42)*('DCF Valuation'!L7-'DCF Valuation'!K7)+L12-L14))</f>
        <v>0</v>
      </c>
      <c r="M13" s="13">
        <f>IF('DCF Input Sheet'!$H$41=1,'DCF Valuation'!L13*(1+'DCF Valuation'!M6),IF('DCF Input Sheet'!$H$41=2,L13*(1+O6),(1/'DCF Input Sheet'!$H$42)*('DCF Valuation'!M7-'DCF Valuation'!L7)+M12-M14))</f>
        <v>0</v>
      </c>
      <c r="N13" s="13">
        <f>IF('DCF Input Sheet'!$H$41=1,'DCF Valuation'!M13*(1+'DCF Valuation'!N6),IF('DCF Input Sheet'!$H$41=2,M13*(1+P6),(1/'DCF Input Sheet'!$H$42)*('DCF Valuation'!N7-'DCF Valuation'!M7)+N12-N14))</f>
        <v>0</v>
      </c>
      <c r="O13" s="13">
        <f>('DCF Input Sheet'!E45/'DCF Input Sheet'!E51)*'DCF Valuation'!O11+'DCF Valuation'!O12-'DCF Valuation'!O14</f>
        <v>31427.276509505515</v>
      </c>
      <c r="P13" s="126"/>
    </row>
    <row r="14" spans="2:16" ht="12">
      <c r="B14" s="125"/>
      <c r="C14" s="2" t="s">
        <v>39</v>
      </c>
      <c r="D14" s="12">
        <f>'DCF Input Sheet'!D16-'DCF Input Sheet'!E16</f>
        <v>-2000</v>
      </c>
      <c r="E14" s="13">
        <f>IF('DCF Input Sheet'!$H$39="Yes",('DCF Input Sheet'!$D$16/'DCF Input Sheet'!$D$13)*('DCF Valuation'!E7-'DCF Valuation'!D7),'DCF Input Sheet'!$H$40*('DCF Valuation'!E7-'DCF Valuation'!D7))</f>
        <v>-200</v>
      </c>
      <c r="F14" s="13">
        <f>IF('DCF Input Sheet'!$H$39="Yes",('DCF Input Sheet'!$D$16/'DCF Input Sheet'!$D$13)*('DCF Valuation'!F7-'DCF Valuation'!E7),'DCF Input Sheet'!$H$40*('DCF Valuation'!F7-'DCF Valuation'!E7))</f>
        <v>-208</v>
      </c>
      <c r="G14" s="13">
        <f>IF('DCF Input Sheet'!$H$39="Yes",('DCF Input Sheet'!$D$16/'DCF Input Sheet'!$D$13)*('DCF Valuation'!G7-'DCF Valuation'!F7),'DCF Input Sheet'!$H$40*('DCF Valuation'!G7-'DCF Valuation'!F7))</f>
        <v>-216.32</v>
      </c>
      <c r="H14" s="13">
        <f>IF('DCF Input Sheet'!$H$39="Yes",('DCF Input Sheet'!$D$16/'DCF Input Sheet'!$D$13)*('DCF Valuation'!H7-'DCF Valuation'!G7),'DCF Input Sheet'!$H$40*('DCF Valuation'!H7-'DCF Valuation'!G7))</f>
        <v>-224.97280000000055</v>
      </c>
      <c r="I14" s="13">
        <f>IF('DCF Input Sheet'!$H$39="Yes",('DCF Input Sheet'!$D$16/'DCF Input Sheet'!$D$13)*('DCF Valuation'!I7-'DCF Valuation'!H7),'DCF Input Sheet'!$H$40*('DCF Valuation'!I7-'DCF Valuation'!H7))</f>
        <v>-233.9717120000006</v>
      </c>
      <c r="J14" s="13">
        <f>IF('DCF Input Sheet'!$H$39="Yes",('DCF Input Sheet'!$D$16/'DCF Input Sheet'!$D$13)*('DCF Valuation'!J7-'DCF Valuation'!I7),'DCF Input Sheet'!$H$40*('DCF Valuation'!J7-'DCF Valuation'!I7))</f>
        <v>-243.3305804800004</v>
      </c>
      <c r="K14" s="13">
        <f>IF('DCF Input Sheet'!$H$39="Yes",('DCF Input Sheet'!$D$16/'DCF Input Sheet'!$D$13)*('DCF Valuation'!K7-'DCF Valuation'!J7),'DCF Input Sheet'!$H$40*('DCF Valuation'!K7-'DCF Valuation'!J7))</f>
        <v>-253.06380369920078</v>
      </c>
      <c r="L14" s="13">
        <f>IF('DCF Input Sheet'!$H$39="Yes",('DCF Input Sheet'!$D$16/'DCF Input Sheet'!$D$13)*('DCF Valuation'!L7-'DCF Valuation'!K7),'DCF Input Sheet'!$H$40*('DCF Valuation'!L7-'DCF Valuation'!K7))</f>
        <v>-263.1863558471679</v>
      </c>
      <c r="M14" s="13">
        <f>IF('DCF Input Sheet'!$H$39="Yes",('DCF Input Sheet'!$D$16/'DCF Input Sheet'!$D$13)*('DCF Valuation'!M7-'DCF Valuation'!L7),'DCF Input Sheet'!$H$40*('DCF Valuation'!M7-'DCF Valuation'!L7))</f>
        <v>-273.71381008105453</v>
      </c>
      <c r="N14" s="13">
        <f>IF('DCF Input Sheet'!$H$39="Yes",('DCF Input Sheet'!$D$16/'DCF Input Sheet'!$D$13)*('DCF Valuation'!N7-'DCF Valuation'!M7),'DCF Input Sheet'!$H$40*('DCF Valuation'!N7-'DCF Valuation'!M7))</f>
        <v>-284.6623624842976</v>
      </c>
      <c r="O14" s="13">
        <f>IF('DCF Input Sheet'!$H$39="Yes",('DCF Input Sheet'!$D$16/'DCF Input Sheet'!$D$13)*('DCF Valuation'!O7-'DCF Valuation'!N7),'DCF Input Sheet'!$H$40*('DCF Valuation'!O7-'DCF Valuation'!N7))</f>
        <v>-74.01221424591728</v>
      </c>
      <c r="P14" s="126"/>
    </row>
    <row r="15" spans="2:16" ht="12">
      <c r="B15" s="125"/>
      <c r="C15" s="2" t="s">
        <v>29</v>
      </c>
      <c r="D15" s="12">
        <f>D11+D12-D13-D14</f>
        <v>806000</v>
      </c>
      <c r="E15" s="12">
        <f>E11+E12-E13-E14</f>
        <v>608946.6666666666</v>
      </c>
      <c r="F15" s="12">
        <f aca="true" t="shared" si="4" ref="F15:O15">F11+F12-F13-F14</f>
        <v>475631.2888888889</v>
      </c>
      <c r="G15" s="12">
        <f t="shared" si="4"/>
        <v>385336.4242962963</v>
      </c>
      <c r="H15" s="12">
        <f t="shared" si="4"/>
        <v>324954.60073876544</v>
      </c>
      <c r="I15" s="12">
        <f t="shared" si="4"/>
        <v>285401.39026794414</v>
      </c>
      <c r="J15" s="12">
        <f t="shared" si="4"/>
        <v>260381.81235840393</v>
      </c>
      <c r="K15" s="12">
        <f t="shared" si="4"/>
        <v>245535.04561202793</v>
      </c>
      <c r="L15" s="12">
        <f t="shared" si="4"/>
        <v>237683.52174944032</v>
      </c>
      <c r="M15" s="12">
        <f t="shared" si="4"/>
        <v>234887.62873543927</v>
      </c>
      <c r="N15" s="12">
        <f t="shared" si="4"/>
        <v>235702.38626361132</v>
      </c>
      <c r="O15" s="12">
        <f t="shared" si="4"/>
        <v>189410.9200487014</v>
      </c>
      <c r="P15" s="126"/>
    </row>
    <row r="16" spans="2:16" ht="12">
      <c r="B16" s="125"/>
      <c r="C16" s="2" t="s">
        <v>38</v>
      </c>
      <c r="D16" s="12">
        <f>'DCF Input Sheet'!D23</f>
        <v>0</v>
      </c>
      <c r="E16" s="12">
        <f>IF(E9&lt;D16,D16-E9,0)</f>
        <v>0</v>
      </c>
      <c r="F16" s="12">
        <f aca="true" t="shared" si="5" ref="F16:O16">IF(F9&lt;E16,E16-F9,0)</f>
        <v>0</v>
      </c>
      <c r="G16" s="12">
        <f t="shared" si="5"/>
        <v>0</v>
      </c>
      <c r="H16" s="12">
        <f t="shared" si="5"/>
        <v>0</v>
      </c>
      <c r="I16" s="12">
        <f t="shared" si="5"/>
        <v>0</v>
      </c>
      <c r="J16" s="12">
        <f t="shared" si="5"/>
        <v>0</v>
      </c>
      <c r="K16" s="12">
        <f t="shared" si="5"/>
        <v>0</v>
      </c>
      <c r="L16" s="12">
        <f t="shared" si="5"/>
        <v>0</v>
      </c>
      <c r="M16" s="12">
        <f t="shared" si="5"/>
        <v>0</v>
      </c>
      <c r="N16" s="12">
        <f t="shared" si="5"/>
        <v>0</v>
      </c>
      <c r="O16" s="12">
        <f t="shared" si="5"/>
        <v>0</v>
      </c>
      <c r="P16" s="126"/>
    </row>
    <row r="17" spans="2:16" ht="12">
      <c r="B17" s="125"/>
      <c r="C17" s="14" t="s">
        <v>30</v>
      </c>
      <c r="D17" s="15"/>
      <c r="E17" s="15"/>
      <c r="F17" s="15"/>
      <c r="G17" s="15"/>
      <c r="H17" s="15"/>
      <c r="I17" s="15"/>
      <c r="J17" s="15"/>
      <c r="K17" s="15"/>
      <c r="L17" s="15"/>
      <c r="M17" s="15"/>
      <c r="N17" s="16"/>
      <c r="O17" s="13">
        <f>IF(O16&gt;0,(O15/(O26-O6))+O16*'DCF Input Sheet'!D24,O15/(O26-O6))</f>
        <v>2905075.460869653</v>
      </c>
      <c r="P17" s="126"/>
    </row>
    <row r="18" spans="2:16" ht="12">
      <c r="B18" s="125"/>
      <c r="C18" s="30"/>
      <c r="D18" s="30"/>
      <c r="E18" s="30"/>
      <c r="F18" s="30"/>
      <c r="G18" s="30"/>
      <c r="H18" s="30"/>
      <c r="I18" s="30"/>
      <c r="J18" s="30"/>
      <c r="K18" s="30"/>
      <c r="L18" s="30"/>
      <c r="M18" s="30"/>
      <c r="N18" s="30"/>
      <c r="O18" s="30"/>
      <c r="P18" s="126"/>
    </row>
    <row r="19" spans="2:16" ht="12">
      <c r="B19" s="125"/>
      <c r="C19" s="127" t="s">
        <v>31</v>
      </c>
      <c r="D19" s="30"/>
      <c r="E19" s="30"/>
      <c r="F19" s="30"/>
      <c r="G19" s="30"/>
      <c r="H19" s="30"/>
      <c r="I19" s="30"/>
      <c r="J19" s="30"/>
      <c r="K19" s="30"/>
      <c r="L19" s="30"/>
      <c r="M19" s="30"/>
      <c r="N19" s="30"/>
      <c r="O19" s="30"/>
      <c r="P19" s="126"/>
    </row>
    <row r="20" spans="2:16" ht="12">
      <c r="B20" s="125"/>
      <c r="C20" s="2" t="s">
        <v>36</v>
      </c>
      <c r="D20" s="10">
        <f>D10/D9</f>
        <v>0.2</v>
      </c>
      <c r="E20" s="10">
        <f aca="true" t="shared" si="6" ref="E20:O20">E10/E9</f>
        <v>0.2</v>
      </c>
      <c r="F20" s="10">
        <f t="shared" si="6"/>
        <v>0.2</v>
      </c>
      <c r="G20" s="10">
        <f t="shared" si="6"/>
        <v>0.2</v>
      </c>
      <c r="H20" s="10">
        <f t="shared" si="6"/>
        <v>0.2</v>
      </c>
      <c r="I20" s="10">
        <f t="shared" si="6"/>
        <v>0.2</v>
      </c>
      <c r="J20" s="10">
        <f t="shared" si="6"/>
        <v>0.2</v>
      </c>
      <c r="K20" s="10">
        <f t="shared" si="6"/>
        <v>0.2</v>
      </c>
      <c r="L20" s="10">
        <f t="shared" si="6"/>
        <v>0.2</v>
      </c>
      <c r="M20" s="10">
        <f t="shared" si="6"/>
        <v>0.2</v>
      </c>
      <c r="N20" s="10">
        <f t="shared" si="6"/>
        <v>0.2</v>
      </c>
      <c r="O20" s="10">
        <f t="shared" si="6"/>
        <v>0.2</v>
      </c>
      <c r="P20" s="126"/>
    </row>
    <row r="21" spans="2:16" ht="12">
      <c r="B21" s="125"/>
      <c r="C21" s="2" t="s">
        <v>32</v>
      </c>
      <c r="D21" s="10">
        <f>IF('DCF Input Sheet'!G27="Yes",('DCF Input Sheet'!D34+#REF!)/('DCF Input Sheet'!D34+#REF!+'DCF Input Sheet'!E54*'DCF Input Sheet'!G55),'DCF Input Sheet'!D34/('DCF Input Sheet'!D34+'DCF Input Sheet'!E54*'DCF Input Sheet'!G55))</f>
        <v>1</v>
      </c>
      <c r="E21" s="4">
        <f aca="true" t="shared" si="7" ref="E21:I22">D21</f>
        <v>1</v>
      </c>
      <c r="F21" s="4">
        <f t="shared" si="7"/>
        <v>1</v>
      </c>
      <c r="G21" s="4">
        <f t="shared" si="7"/>
        <v>1</v>
      </c>
      <c r="H21" s="4">
        <f t="shared" si="7"/>
        <v>1</v>
      </c>
      <c r="I21" s="4">
        <f t="shared" si="7"/>
        <v>1</v>
      </c>
      <c r="J21" s="10">
        <f>$I$21+($O$21-$I$21)/(10-J5+1)</f>
        <v>0.84</v>
      </c>
      <c r="K21" s="10">
        <f>$I$21+($O$21-$I$21)/(10-K5+1)</f>
        <v>0.8</v>
      </c>
      <c r="L21" s="10">
        <f>$I$21+($O$21-$I$21)/(10-L5+1)</f>
        <v>0.7333333333333334</v>
      </c>
      <c r="M21" s="10">
        <f>$I$21+($O$21-$I$21)/(10-M5+1)</f>
        <v>0.6</v>
      </c>
      <c r="N21" s="10">
        <f>$I$21+($O$21-$I$21)/(10-N5+1)</f>
        <v>0.19999999999999996</v>
      </c>
      <c r="O21" s="4">
        <f>'DCF Input Sheet'!E47</f>
        <v>0.2</v>
      </c>
      <c r="P21" s="126"/>
    </row>
    <row r="22" spans="2:16" ht="12">
      <c r="B22" s="125"/>
      <c r="C22" s="2" t="s">
        <v>33</v>
      </c>
      <c r="D22" s="17">
        <f>'DCF Input Sheet'!D32</f>
        <v>0.73</v>
      </c>
      <c r="E22" s="17">
        <f t="shared" si="7"/>
        <v>0.73</v>
      </c>
      <c r="F22" s="17">
        <f t="shared" si="7"/>
        <v>0.73</v>
      </c>
      <c r="G22" s="17">
        <f t="shared" si="7"/>
        <v>0.73</v>
      </c>
      <c r="H22" s="17">
        <f t="shared" si="7"/>
        <v>0.73</v>
      </c>
      <c r="I22" s="17">
        <f t="shared" si="7"/>
        <v>0.73</v>
      </c>
      <c r="J22" s="18">
        <f>$I$22+(($O$22-$I$22)/5)*(J5-5)</f>
        <v>0.784</v>
      </c>
      <c r="K22" s="18">
        <f>$I$22+(($O$22-$I$22)/5)*(K5-5)</f>
        <v>0.838</v>
      </c>
      <c r="L22" s="18">
        <f>$I$22+(($O$22-$I$22)/5)*(L5-5)</f>
        <v>0.892</v>
      </c>
      <c r="M22" s="18">
        <f>$I$22+(($O$22-$I$22)/5)*(M5-5)</f>
        <v>0.946</v>
      </c>
      <c r="N22" s="18">
        <f>$I$22+(($O$22-$I$22)/5)*(N5-5)</f>
        <v>1</v>
      </c>
      <c r="O22" s="19">
        <f>'DCF Input Sheet'!E48</f>
        <v>1</v>
      </c>
      <c r="P22" s="126"/>
    </row>
    <row r="23" spans="2:16" ht="12">
      <c r="B23" s="125"/>
      <c r="C23" s="2" t="s">
        <v>34</v>
      </c>
      <c r="D23" s="4">
        <f>'DCF Input Sheet'!$E$59+'DCF Valuation'!D22*'DCF Input Sheet'!$E$60</f>
        <v>0.07110000000000001</v>
      </c>
      <c r="E23" s="4">
        <f>'DCF Input Sheet'!$E$59+'DCF Valuation'!E22*'DCF Input Sheet'!$E$60</f>
        <v>0.07110000000000001</v>
      </c>
      <c r="F23" s="4">
        <f>'DCF Input Sheet'!$E$59+'DCF Valuation'!F22*'DCF Input Sheet'!$E$60</f>
        <v>0.07110000000000001</v>
      </c>
      <c r="G23" s="4">
        <f>'DCF Input Sheet'!$E$59+'DCF Valuation'!G22*'DCF Input Sheet'!$E$60</f>
        <v>0.07110000000000001</v>
      </c>
      <c r="H23" s="4">
        <f>'DCF Input Sheet'!$E$59+'DCF Valuation'!H22*'DCF Input Sheet'!$E$60</f>
        <v>0.07110000000000001</v>
      </c>
      <c r="I23" s="4">
        <f>'DCF Input Sheet'!$E$59+'DCF Valuation'!I22*'DCF Input Sheet'!$E$60</f>
        <v>0.07110000000000001</v>
      </c>
      <c r="J23" s="4">
        <f>'DCF Input Sheet'!$E$59+'DCF Valuation'!J22*'DCF Input Sheet'!$E$60</f>
        <v>0.07488</v>
      </c>
      <c r="K23" s="4">
        <f>'DCF Input Sheet'!$E$59+'DCF Valuation'!K22*'DCF Input Sheet'!$E$60</f>
        <v>0.07866000000000001</v>
      </c>
      <c r="L23" s="4">
        <f>'DCF Input Sheet'!$E$59+'DCF Valuation'!L22*'DCF Input Sheet'!$E$60</f>
        <v>0.08244000000000001</v>
      </c>
      <c r="M23" s="4">
        <f>'DCF Input Sheet'!$E$59+'DCF Valuation'!M22*'DCF Input Sheet'!$E$60</f>
        <v>0.08622</v>
      </c>
      <c r="N23" s="4">
        <f>'DCF Input Sheet'!$E$59+'DCF Valuation'!N22*'DCF Input Sheet'!$E$60</f>
        <v>0.09000000000000001</v>
      </c>
      <c r="O23" s="4">
        <f>'DCF Input Sheet'!$E$59+'DCF Valuation'!O22*'DCF Input Sheet'!$E$60</f>
        <v>0.09000000000000001</v>
      </c>
      <c r="P23" s="126"/>
    </row>
    <row r="24" spans="2:16" ht="12">
      <c r="B24" s="125"/>
      <c r="C24" s="2" t="s">
        <v>35</v>
      </c>
      <c r="D24" s="4">
        <f>'DCF Input Sheet'!D33</f>
        <v>0.02</v>
      </c>
      <c r="E24" s="10">
        <f>D24</f>
        <v>0.02</v>
      </c>
      <c r="F24" s="10">
        <f>E24</f>
        <v>0.02</v>
      </c>
      <c r="G24" s="10">
        <f>F24</f>
        <v>0.02</v>
      </c>
      <c r="H24" s="10">
        <f>G24</f>
        <v>0.02</v>
      </c>
      <c r="I24" s="10">
        <f>H24</f>
        <v>0.02</v>
      </c>
      <c r="J24" s="10">
        <f>$I$24+($O$24-$I$24)/(10-J5+1)</f>
        <v>0.02</v>
      </c>
      <c r="K24" s="10">
        <f>$I$24+($O$24-$I$24)/(10-K5+1)</f>
        <v>0.02</v>
      </c>
      <c r="L24" s="10">
        <f>$I$24+($O$24-$I$24)/(10-L5+1)</f>
        <v>0.02</v>
      </c>
      <c r="M24" s="10">
        <f>$I$24+($O$24-$I$24)/(10-M5+1)</f>
        <v>0.02</v>
      </c>
      <c r="N24" s="10">
        <f>$I$24+($O$24-$I$24)/(10-N5+1)</f>
        <v>0.02</v>
      </c>
      <c r="O24" s="4">
        <f>'DCF Input Sheet'!E49</f>
        <v>0.02</v>
      </c>
      <c r="P24" s="126"/>
    </row>
    <row r="25" spans="2:16" ht="12">
      <c r="B25" s="125"/>
      <c r="C25" s="2" t="s">
        <v>48</v>
      </c>
      <c r="D25" s="4">
        <f>D24*(1-D20)</f>
        <v>0.016</v>
      </c>
      <c r="E25" s="4">
        <f aca="true" t="shared" si="8" ref="E25:O25">E24*(1-E20)</f>
        <v>0.016</v>
      </c>
      <c r="F25" s="4">
        <f t="shared" si="8"/>
        <v>0.016</v>
      </c>
      <c r="G25" s="4">
        <f t="shared" si="8"/>
        <v>0.016</v>
      </c>
      <c r="H25" s="4">
        <f t="shared" si="8"/>
        <v>0.016</v>
      </c>
      <c r="I25" s="4">
        <f t="shared" si="8"/>
        <v>0.016</v>
      </c>
      <c r="J25" s="4">
        <f t="shared" si="8"/>
        <v>0.016</v>
      </c>
      <c r="K25" s="4">
        <f t="shared" si="8"/>
        <v>0.016</v>
      </c>
      <c r="L25" s="4">
        <f t="shared" si="8"/>
        <v>0.016</v>
      </c>
      <c r="M25" s="4">
        <f t="shared" si="8"/>
        <v>0.016</v>
      </c>
      <c r="N25" s="4">
        <f t="shared" si="8"/>
        <v>0.016</v>
      </c>
      <c r="O25" s="4">
        <f t="shared" si="8"/>
        <v>0.016</v>
      </c>
      <c r="P25" s="126"/>
    </row>
    <row r="26" spans="2:16" ht="12">
      <c r="B26" s="125"/>
      <c r="C26" s="2" t="s">
        <v>37</v>
      </c>
      <c r="D26" s="10">
        <f>D23*(1-D21)+D25*D21</f>
        <v>0.016</v>
      </c>
      <c r="E26" s="10">
        <f aca="true" t="shared" si="9" ref="E26:O26">E23*(1-E21)+E25*E21</f>
        <v>0.016</v>
      </c>
      <c r="F26" s="10">
        <f t="shared" si="9"/>
        <v>0.016</v>
      </c>
      <c r="G26" s="10">
        <f t="shared" si="9"/>
        <v>0.016</v>
      </c>
      <c r="H26" s="10">
        <f t="shared" si="9"/>
        <v>0.016</v>
      </c>
      <c r="I26" s="10">
        <f t="shared" si="9"/>
        <v>0.016</v>
      </c>
      <c r="J26" s="10">
        <f t="shared" si="9"/>
        <v>0.025420800000000004</v>
      </c>
      <c r="K26" s="10">
        <f t="shared" si="9"/>
        <v>0.028532000000000002</v>
      </c>
      <c r="L26" s="10">
        <f t="shared" si="9"/>
        <v>0.033717333333333335</v>
      </c>
      <c r="M26" s="10">
        <f t="shared" si="9"/>
        <v>0.044088</v>
      </c>
      <c r="N26" s="10">
        <f t="shared" si="9"/>
        <v>0.0752</v>
      </c>
      <c r="O26" s="10">
        <f t="shared" si="9"/>
        <v>0.0752</v>
      </c>
      <c r="P26" s="126"/>
    </row>
    <row r="27" spans="2:16" ht="12">
      <c r="B27" s="125"/>
      <c r="C27" s="30"/>
      <c r="D27" s="30"/>
      <c r="E27" s="30"/>
      <c r="F27" s="30"/>
      <c r="G27" s="30"/>
      <c r="H27" s="30"/>
      <c r="I27" s="30"/>
      <c r="J27" s="30"/>
      <c r="K27" s="30"/>
      <c r="L27" s="30"/>
      <c r="M27" s="30"/>
      <c r="N27" s="30"/>
      <c r="O27" s="30"/>
      <c r="P27" s="126"/>
    </row>
    <row r="28" spans="2:16" ht="12">
      <c r="B28" s="125"/>
      <c r="C28" s="127" t="s">
        <v>1</v>
      </c>
      <c r="D28" s="30"/>
      <c r="E28" s="30"/>
      <c r="F28" s="30"/>
      <c r="G28" s="30"/>
      <c r="H28" s="30"/>
      <c r="I28" s="30"/>
      <c r="J28" s="30"/>
      <c r="K28" s="30"/>
      <c r="L28" s="30"/>
      <c r="M28" s="30"/>
      <c r="N28" s="30"/>
      <c r="O28" s="30"/>
      <c r="P28" s="126"/>
    </row>
    <row r="29" spans="2:16" s="3" customFormat="1" ht="12">
      <c r="B29" s="128"/>
      <c r="C29" s="20" t="s">
        <v>105</v>
      </c>
      <c r="D29" s="21">
        <f>IF('DCF Input Sheet'!G28="Yes",(IF('DCF Input Sheet'!G29="Yes",'DCF Input Sheet'!D17+'DCF Input Sheet'!D18+#REF!+#REF!,'DCF Input Sheet'!D17+'DCF Input Sheet'!D18+#REF!)),(IF('DCF Input Sheet'!G29="Yes",'DCF Input Sheet'!D17+'DCF Input Sheet'!D18++#REF!,'DCF Input Sheet'!D17+'DCF Input Sheet'!D18)))</f>
        <v>6000000</v>
      </c>
      <c r="E29" s="22">
        <f>D29+E13+E14-E12</f>
        <v>5995640</v>
      </c>
      <c r="F29" s="22">
        <f aca="true" t="shared" si="10" ref="F29:O29">E29+F13+F14-F12</f>
        <v>5991105.6</v>
      </c>
      <c r="G29" s="22">
        <f t="shared" si="10"/>
        <v>5986389.823999999</v>
      </c>
      <c r="H29" s="22">
        <f t="shared" si="10"/>
        <v>5981485.416959999</v>
      </c>
      <c r="I29" s="22">
        <f t="shared" si="10"/>
        <v>5976384.8336384</v>
      </c>
      <c r="J29" s="22">
        <f t="shared" si="10"/>
        <v>5971080.226983936</v>
      </c>
      <c r="K29" s="22">
        <f t="shared" si="10"/>
        <v>5965563.436063293</v>
      </c>
      <c r="L29" s="22">
        <f t="shared" si="10"/>
        <v>5959983.8853193335</v>
      </c>
      <c r="M29" s="22">
        <f t="shared" si="10"/>
        <v>5954340.643477259</v>
      </c>
      <c r="N29" s="22">
        <f t="shared" si="10"/>
        <v>5948632.757802461</v>
      </c>
      <c r="O29" s="22">
        <f t="shared" si="10"/>
        <v>5974508.566552284</v>
      </c>
      <c r="P29" s="129"/>
    </row>
    <row r="30" spans="2:16" ht="12">
      <c r="B30" s="125"/>
      <c r="C30" s="2" t="s">
        <v>46</v>
      </c>
      <c r="D30" s="23">
        <f>IF(D9&gt;0,(D13-D12+D14)/D11,"NMF")</f>
        <v>-0.0075</v>
      </c>
      <c r="E30" s="23">
        <f aca="true" t="shared" si="11" ref="E30:O30">IF(E9&gt;0,(E13-E12+E14)/E11,"NMF")</f>
        <v>-0.007211538461538462</v>
      </c>
      <c r="F30" s="23">
        <f t="shared" si="11"/>
        <v>-0.009625196232339091</v>
      </c>
      <c r="G30" s="23">
        <f t="shared" si="11"/>
        <v>-0.012389700929543312</v>
      </c>
      <c r="H30" s="23">
        <f t="shared" si="11"/>
        <v>-0.015323868369897254</v>
      </c>
      <c r="I30" s="23">
        <f t="shared" si="11"/>
        <v>-0.018196819970541036</v>
      </c>
      <c r="J30" s="23">
        <f>$I$30+($O$30-$I$30)/(10-J5+1)</f>
        <v>0.009481005562028709</v>
      </c>
      <c r="K30" s="23">
        <f>$I$30+($O$30-$I$30)/(10-K5+1)</f>
        <v>0.016400461945171144</v>
      </c>
      <c r="L30" s="23">
        <f>$I$30+($O$30-$I$30)/(10-L5+1)</f>
        <v>0.02793288925040854</v>
      </c>
      <c r="M30" s="23">
        <f>$I$30+($O$30-$I$30)/(10-M5+1)</f>
        <v>0.05099774386088332</v>
      </c>
      <c r="N30" s="23">
        <f>$I$30+($O$30-$I$30)/(10-N5+1)</f>
        <v>0.12019230769230768</v>
      </c>
      <c r="O30" s="23">
        <f t="shared" si="11"/>
        <v>0.12019230769230768</v>
      </c>
      <c r="P30" s="126"/>
    </row>
    <row r="31" spans="2:16" ht="12">
      <c r="B31" s="125"/>
      <c r="C31" s="2" t="s">
        <v>41</v>
      </c>
      <c r="D31" s="2"/>
      <c r="E31" s="19">
        <f>(E7-D7)/(E29-D29)</f>
        <v>-82.56880733944953</v>
      </c>
      <c r="F31" s="19">
        <f aca="true" t="shared" si="12" ref="F31:O31">(F7-E7)/(F29-E29)</f>
        <v>-82.56880733944276</v>
      </c>
      <c r="G31" s="19">
        <f t="shared" si="12"/>
        <v>-82.56880733944016</v>
      </c>
      <c r="H31" s="19">
        <f t="shared" si="12"/>
        <v>-82.56880733945039</v>
      </c>
      <c r="I31" s="19">
        <f t="shared" si="12"/>
        <v>-82.56880733946124</v>
      </c>
      <c r="J31" s="19">
        <f t="shared" si="12"/>
        <v>-82.56880733944553</v>
      </c>
      <c r="K31" s="19">
        <f t="shared" si="12"/>
        <v>-82.5688073394551</v>
      </c>
      <c r="L31" s="19">
        <f t="shared" si="12"/>
        <v>-84.90566037736023</v>
      </c>
      <c r="M31" s="19">
        <f t="shared" si="12"/>
        <v>-87.30528868576704</v>
      </c>
      <c r="N31" s="19">
        <f t="shared" si="12"/>
        <v>-89.76918629153786</v>
      </c>
      <c r="O31" s="19">
        <f t="shared" si="12"/>
        <v>5.148514851485092</v>
      </c>
      <c r="P31" s="126"/>
    </row>
    <row r="32" spans="2:16" ht="12">
      <c r="B32" s="125"/>
      <c r="C32" s="2" t="s">
        <v>40</v>
      </c>
      <c r="D32" s="10"/>
      <c r="E32" s="10">
        <f>E11/D29</f>
        <v>0.10076444444444443</v>
      </c>
      <c r="F32" s="10">
        <f aca="true" t="shared" si="13" ref="F32:N32">F11/E29</f>
        <v>0.07857324470596781</v>
      </c>
      <c r="G32" s="10">
        <f t="shared" si="13"/>
        <v>0.06353095300077774</v>
      </c>
      <c r="H32" s="10">
        <f t="shared" si="13"/>
        <v>0.053462972360345494</v>
      </c>
      <c r="I32" s="10">
        <f t="shared" si="13"/>
        <v>0.04686140438486646</v>
      </c>
      <c r="J32" s="10">
        <f t="shared" si="13"/>
        <v>0.04268085352673816</v>
      </c>
      <c r="K32" s="10">
        <f t="shared" si="13"/>
        <v>0.040196789453057054</v>
      </c>
      <c r="L32" s="10">
        <f t="shared" si="13"/>
        <v>0.038907300792806084</v>
      </c>
      <c r="M32" s="10">
        <f t="shared" si="13"/>
        <v>0.03846392730323322</v>
      </c>
      <c r="N32" s="10">
        <f t="shared" si="13"/>
        <v>0.0386263592159046</v>
      </c>
      <c r="O32" s="10">
        <f>'DCF Input Sheet'!E51</f>
        <v>0.08320000000000001</v>
      </c>
      <c r="P32" s="126"/>
    </row>
    <row r="33" spans="2:16" ht="12">
      <c r="B33" s="125"/>
      <c r="C33" s="30"/>
      <c r="D33" s="30"/>
      <c r="E33" s="30"/>
      <c r="F33" s="30"/>
      <c r="G33" s="30"/>
      <c r="H33" s="30"/>
      <c r="I33" s="30"/>
      <c r="J33" s="30"/>
      <c r="K33" s="30"/>
      <c r="L33" s="30"/>
      <c r="M33" s="30"/>
      <c r="N33" s="30"/>
      <c r="O33" s="30"/>
      <c r="P33" s="126"/>
    </row>
    <row r="34" spans="2:16" ht="12">
      <c r="B34" s="125"/>
      <c r="C34" s="127" t="s">
        <v>11</v>
      </c>
      <c r="D34" s="30"/>
      <c r="E34" s="30"/>
      <c r="F34" s="30"/>
      <c r="G34" s="30"/>
      <c r="H34" s="30"/>
      <c r="I34" s="30"/>
      <c r="J34" s="30"/>
      <c r="K34" s="30"/>
      <c r="L34" s="30"/>
      <c r="M34" s="30"/>
      <c r="N34" s="30"/>
      <c r="O34" s="30"/>
      <c r="P34" s="126"/>
    </row>
    <row r="35" spans="2:16" ht="12">
      <c r="B35" s="125"/>
      <c r="C35" s="2" t="s">
        <v>42</v>
      </c>
      <c r="D35" s="2"/>
      <c r="E35" s="24">
        <f>(1+E26)</f>
        <v>1.016</v>
      </c>
      <c r="F35" s="2">
        <f>E35*(1+F26)</f>
        <v>1.032256</v>
      </c>
      <c r="G35" s="2">
        <f aca="true" t="shared" si="14" ref="G35:N35">F35*(1+G26)</f>
        <v>1.048772096</v>
      </c>
      <c r="H35" s="2">
        <f t="shared" si="14"/>
        <v>1.065552449536</v>
      </c>
      <c r="I35" s="2">
        <f t="shared" si="14"/>
        <v>1.082601288728576</v>
      </c>
      <c r="J35" s="2">
        <f t="shared" si="14"/>
        <v>1.1101218795690875</v>
      </c>
      <c r="K35" s="2">
        <f t="shared" si="14"/>
        <v>1.1417958770369527</v>
      </c>
      <c r="L35" s="2">
        <f t="shared" si="14"/>
        <v>1.1802941892216334</v>
      </c>
      <c r="M35" s="2">
        <f t="shared" si="14"/>
        <v>1.2323309994360367</v>
      </c>
      <c r="N35" s="2">
        <f t="shared" si="14"/>
        <v>1.3250022905936267</v>
      </c>
      <c r="O35" s="30"/>
      <c r="P35" s="126"/>
    </row>
    <row r="36" spans="2:16" ht="12">
      <c r="B36" s="125"/>
      <c r="C36" s="2" t="s">
        <v>43</v>
      </c>
      <c r="D36" s="2"/>
      <c r="E36" s="7">
        <f>E15/E35</f>
        <v>599356.9553805774</v>
      </c>
      <c r="F36" s="7">
        <f aca="true" t="shared" si="15" ref="F36:N36">F15/F35</f>
        <v>460768.7326485764</v>
      </c>
      <c r="G36" s="7">
        <f t="shared" si="15"/>
        <v>367416.7397911932</v>
      </c>
      <c r="H36" s="7">
        <f t="shared" si="15"/>
        <v>304963.4965226428</v>
      </c>
      <c r="I36" s="7">
        <f t="shared" si="15"/>
        <v>263625.5777998602</v>
      </c>
      <c r="J36" s="7">
        <f t="shared" si="15"/>
        <v>234552.4551407594</v>
      </c>
      <c r="K36" s="7">
        <f t="shared" si="15"/>
        <v>215042.85533874066</v>
      </c>
      <c r="L36" s="7">
        <f t="shared" si="15"/>
        <v>201376.50758594775</v>
      </c>
      <c r="M36" s="7">
        <f t="shared" si="15"/>
        <v>190604.33344850782</v>
      </c>
      <c r="N36" s="7">
        <f t="shared" si="15"/>
        <v>177888.28588214144</v>
      </c>
      <c r="O36" s="30"/>
      <c r="P36" s="126"/>
    </row>
    <row r="37" spans="2:16" ht="12">
      <c r="B37" s="125"/>
      <c r="C37" s="2" t="s">
        <v>44</v>
      </c>
      <c r="D37" s="2"/>
      <c r="E37" s="2"/>
      <c r="F37" s="2"/>
      <c r="G37" s="2"/>
      <c r="H37" s="2"/>
      <c r="I37" s="2"/>
      <c r="J37" s="2"/>
      <c r="K37" s="2"/>
      <c r="L37" s="2"/>
      <c r="M37" s="2"/>
      <c r="N37" s="7">
        <f>O17/N35</f>
        <v>2192505.9914938887</v>
      </c>
      <c r="O37" s="30"/>
      <c r="P37" s="126"/>
    </row>
    <row r="38" spans="2:16" ht="11.25">
      <c r="B38" s="125"/>
      <c r="C38" s="30"/>
      <c r="D38" s="30"/>
      <c r="E38" s="130"/>
      <c r="F38" s="30"/>
      <c r="G38" s="131"/>
      <c r="H38" s="30"/>
      <c r="I38" s="30"/>
      <c r="J38" s="30"/>
      <c r="K38" s="30"/>
      <c r="L38" s="30"/>
      <c r="M38" s="30"/>
      <c r="N38" s="30"/>
      <c r="O38" s="30"/>
      <c r="P38" s="126"/>
    </row>
    <row r="39" spans="2:16" s="1" customFormat="1" ht="11.25">
      <c r="B39" s="132"/>
      <c r="C39" s="127" t="s">
        <v>2</v>
      </c>
      <c r="D39" s="127"/>
      <c r="E39" s="127"/>
      <c r="F39" s="133"/>
      <c r="G39" s="127"/>
      <c r="H39" s="127"/>
      <c r="I39" s="127"/>
      <c r="J39" s="127"/>
      <c r="K39" s="127"/>
      <c r="L39" s="127"/>
      <c r="M39" s="127"/>
      <c r="N39" s="127"/>
      <c r="O39" s="127"/>
      <c r="P39" s="134"/>
    </row>
    <row r="40" spans="2:16" ht="11.25">
      <c r="B40" s="125"/>
      <c r="C40" s="30" t="s">
        <v>73</v>
      </c>
      <c r="D40" s="30"/>
      <c r="E40" s="30"/>
      <c r="F40" s="6">
        <f>SUM(E36:N36)</f>
        <v>3015595.9395389473</v>
      </c>
      <c r="G40" s="30"/>
      <c r="H40" s="30"/>
      <c r="I40" s="30"/>
      <c r="J40" s="30"/>
      <c r="K40" s="30"/>
      <c r="L40" s="30"/>
      <c r="M40" s="30"/>
      <c r="N40" s="30"/>
      <c r="O40" s="30"/>
      <c r="P40" s="126"/>
    </row>
    <row r="41" spans="2:16" ht="11.25">
      <c r="B41" s="125"/>
      <c r="C41" s="30" t="s">
        <v>24</v>
      </c>
      <c r="D41" s="30"/>
      <c r="E41" s="30"/>
      <c r="F41" s="7">
        <f>N37</f>
        <v>2192505.9914938887</v>
      </c>
      <c r="G41" s="30"/>
      <c r="H41" s="30"/>
      <c r="I41" s="30"/>
      <c r="J41" s="30"/>
      <c r="K41" s="30"/>
      <c r="L41" s="30"/>
      <c r="M41" s="30"/>
      <c r="N41" s="30"/>
      <c r="O41" s="30"/>
      <c r="P41" s="126"/>
    </row>
    <row r="42" spans="2:16" ht="11.25">
      <c r="B42" s="125"/>
      <c r="C42" s="30" t="s">
        <v>25</v>
      </c>
      <c r="D42" s="30"/>
      <c r="E42" s="30"/>
      <c r="F42" s="6">
        <f>SUM(F40:F41)</f>
        <v>5208101.931032836</v>
      </c>
      <c r="G42" s="30"/>
      <c r="H42" s="30"/>
      <c r="I42" s="135"/>
      <c r="J42" s="30"/>
      <c r="K42" s="30"/>
      <c r="L42" s="30"/>
      <c r="M42" s="30"/>
      <c r="N42" s="30"/>
      <c r="O42" s="30"/>
      <c r="P42" s="126"/>
    </row>
    <row r="43" spans="2:16" ht="11.25">
      <c r="B43" s="125"/>
      <c r="C43" s="30" t="s">
        <v>74</v>
      </c>
      <c r="D43" s="30"/>
      <c r="E43" s="30"/>
      <c r="F43" s="6">
        <f>'DCF Input Sheet'!D19+'DCF Input Sheet'!D20</f>
        <v>9000</v>
      </c>
      <c r="G43" s="30"/>
      <c r="H43" s="30"/>
      <c r="I43" s="30"/>
      <c r="J43" s="30"/>
      <c r="K43" s="30"/>
      <c r="L43" s="30"/>
      <c r="M43" s="30"/>
      <c r="N43" s="30"/>
      <c r="O43" s="30"/>
      <c r="P43" s="126"/>
    </row>
    <row r="44" spans="2:16" ht="11.25">
      <c r="B44" s="125"/>
      <c r="C44" s="30" t="s">
        <v>75</v>
      </c>
      <c r="D44" s="30"/>
      <c r="E44" s="30"/>
      <c r="F44" s="6">
        <f>F42+F43</f>
        <v>5217101.931032836</v>
      </c>
      <c r="G44" s="30"/>
      <c r="H44" s="30"/>
      <c r="I44" s="30"/>
      <c r="J44" s="30"/>
      <c r="K44" s="30"/>
      <c r="L44" s="30"/>
      <c r="M44" s="30"/>
      <c r="N44" s="30"/>
      <c r="O44" s="30"/>
      <c r="P44" s="126"/>
    </row>
    <row r="45" spans="2:16" ht="11.25">
      <c r="B45" s="125"/>
      <c r="C45" s="30" t="s">
        <v>26</v>
      </c>
      <c r="D45" s="30"/>
      <c r="E45" s="30"/>
      <c r="F45" s="7">
        <f>IF('DCF Input Sheet'!G27="Yes",'DCF Input Sheet'!D34+#REF!,'DCF Input Sheet'!D34)</f>
        <v>700</v>
      </c>
      <c r="G45" s="30"/>
      <c r="H45" s="30"/>
      <c r="I45" s="30"/>
      <c r="J45" s="30"/>
      <c r="K45" s="30"/>
      <c r="L45" s="30"/>
      <c r="M45" s="30"/>
      <c r="N45" s="30"/>
      <c r="O45" s="30"/>
      <c r="P45" s="126"/>
    </row>
    <row r="46" spans="2:16" ht="11.25">
      <c r="B46" s="125"/>
      <c r="C46" s="30" t="s">
        <v>27</v>
      </c>
      <c r="D46" s="30"/>
      <c r="E46" s="30"/>
      <c r="F46" s="6">
        <f>F44-F45</f>
        <v>5216401.931032836</v>
      </c>
      <c r="G46" s="30"/>
      <c r="H46" s="30"/>
      <c r="I46" s="30"/>
      <c r="J46" s="30"/>
      <c r="K46" s="30"/>
      <c r="L46" s="30"/>
      <c r="M46" s="30"/>
      <c r="N46" s="30"/>
      <c r="O46" s="30"/>
      <c r="P46" s="126"/>
    </row>
    <row r="47" spans="2:16" ht="11.25" hidden="1">
      <c r="B47" s="125"/>
      <c r="C47" s="30" t="s">
        <v>49</v>
      </c>
      <c r="D47" s="30"/>
      <c r="E47" s="30"/>
      <c r="F47" s="7">
        <f>IF('DCF Input Sheet'!G56="Yes",#REF!*(1-'DCF Input Sheet'!D24),0)</f>
        <v>0</v>
      </c>
      <c r="G47" s="30"/>
      <c r="H47" s="30"/>
      <c r="I47" s="30"/>
      <c r="J47" s="30"/>
      <c r="K47" s="30"/>
      <c r="L47" s="30"/>
      <c r="M47" s="30"/>
      <c r="N47" s="30"/>
      <c r="O47" s="30"/>
      <c r="P47" s="126"/>
    </row>
    <row r="48" spans="2:16" ht="11.25">
      <c r="B48" s="125"/>
      <c r="C48" s="30" t="s">
        <v>90</v>
      </c>
      <c r="D48" s="30"/>
      <c r="E48" s="30"/>
      <c r="F48" s="6">
        <f>F46-F47</f>
        <v>5216401.931032836</v>
      </c>
      <c r="G48" s="30"/>
      <c r="H48" s="30"/>
      <c r="I48" s="30"/>
      <c r="J48" s="30"/>
      <c r="K48" s="30"/>
      <c r="L48" s="30"/>
      <c r="M48" s="30"/>
      <c r="N48" s="30"/>
      <c r="O48" s="30"/>
      <c r="P48" s="126"/>
    </row>
    <row r="49" spans="2:16" ht="12" thickBot="1">
      <c r="B49" s="125"/>
      <c r="C49" s="127" t="s">
        <v>91</v>
      </c>
      <c r="D49" s="127"/>
      <c r="E49" s="127"/>
      <c r="F49" s="177">
        <f>F48/'DCF Input Sheet'!E54</f>
        <v>2.608200965516418</v>
      </c>
      <c r="G49" s="30"/>
      <c r="H49" s="31"/>
      <c r="I49" s="30"/>
      <c r="J49" s="30"/>
      <c r="K49" s="30"/>
      <c r="L49" s="30"/>
      <c r="M49" s="30"/>
      <c r="N49" s="30"/>
      <c r="O49" s="30"/>
      <c r="P49" s="126"/>
    </row>
    <row r="50" spans="2:16" ht="11.25" hidden="1">
      <c r="B50" s="125"/>
      <c r="C50" s="30"/>
      <c r="D50" s="30"/>
      <c r="E50" s="30"/>
      <c r="F50" s="30"/>
      <c r="G50" s="30"/>
      <c r="H50" s="30"/>
      <c r="I50" s="30"/>
      <c r="J50" s="30"/>
      <c r="K50" s="30"/>
      <c r="L50" s="30"/>
      <c r="M50" s="30"/>
      <c r="N50" s="30"/>
      <c r="O50" s="30"/>
      <c r="P50" s="126"/>
    </row>
    <row r="51" spans="2:16" ht="13.5" hidden="1" thickBot="1">
      <c r="B51" s="125"/>
      <c r="C51" s="196" t="s">
        <v>83</v>
      </c>
      <c r="D51" s="197"/>
      <c r="E51" s="197"/>
      <c r="F51" s="197"/>
      <c r="G51" s="197"/>
      <c r="H51" s="197"/>
      <c r="I51" s="197"/>
      <c r="J51" s="197"/>
      <c r="K51" s="197"/>
      <c r="L51" s="197"/>
      <c r="M51" s="197"/>
      <c r="N51" s="198"/>
      <c r="O51" s="30"/>
      <c r="P51" s="126"/>
    </row>
    <row r="52" spans="2:16" ht="11.25" hidden="1">
      <c r="B52" s="125"/>
      <c r="C52" s="25" t="s">
        <v>98</v>
      </c>
      <c r="D52" s="26">
        <f>E7</f>
        <v>9360000</v>
      </c>
      <c r="E52" s="26">
        <f aca="true" t="shared" si="16" ref="E52:N52">F7</f>
        <v>9734400</v>
      </c>
      <c r="F52" s="26">
        <f t="shared" si="16"/>
        <v>10123776</v>
      </c>
      <c r="G52" s="26">
        <f t="shared" si="16"/>
        <v>10528727.040000001</v>
      </c>
      <c r="H52" s="26">
        <f t="shared" si="16"/>
        <v>10949876.121600002</v>
      </c>
      <c r="I52" s="26">
        <f t="shared" si="16"/>
        <v>11387871.166464003</v>
      </c>
      <c r="J52" s="26">
        <f t="shared" si="16"/>
        <v>11843386.013122564</v>
      </c>
      <c r="K52" s="26">
        <f t="shared" si="16"/>
        <v>12317121.453647466</v>
      </c>
      <c r="L52" s="26">
        <f t="shared" si="16"/>
        <v>12809806.311793365</v>
      </c>
      <c r="M52" s="26">
        <f t="shared" si="16"/>
        <v>13322198.5642651</v>
      </c>
      <c r="N52" s="26">
        <f t="shared" si="16"/>
        <v>13455420.549907751</v>
      </c>
      <c r="O52" s="30"/>
      <c r="P52" s="126"/>
    </row>
    <row r="53" spans="2:16" ht="11.25" hidden="1">
      <c r="B53" s="125"/>
      <c r="C53" s="2" t="s">
        <v>106</v>
      </c>
      <c r="D53" s="12">
        <f>E9</f>
        <v>755733.3333333333</v>
      </c>
      <c r="E53" s="12">
        <f aca="true" t="shared" si="17" ref="E53:N53">F9</f>
        <v>588871.1111111111</v>
      </c>
      <c r="F53" s="12">
        <f t="shared" si="17"/>
        <v>475775.8103703704</v>
      </c>
      <c r="G53" s="12">
        <f t="shared" si="17"/>
        <v>400062.74212345685</v>
      </c>
      <c r="H53" s="12">
        <f t="shared" si="17"/>
        <v>350376.00868293014</v>
      </c>
      <c r="I53" s="12">
        <f t="shared" si="17"/>
        <v>318846.50712992495</v>
      </c>
      <c r="J53" s="12">
        <f t="shared" si="17"/>
        <v>300022.81836423173</v>
      </c>
      <c r="K53" s="12">
        <f t="shared" si="17"/>
        <v>290129.96375685045</v>
      </c>
      <c r="L53" s="12">
        <f t="shared" si="17"/>
        <v>286555.4836167054</v>
      </c>
      <c r="M53" s="12">
        <f t="shared" si="17"/>
        <v>287493.12573601643</v>
      </c>
      <c r="N53" s="12">
        <f t="shared" si="17"/>
        <v>269108.410998155</v>
      </c>
      <c r="O53" s="30"/>
      <c r="P53" s="126"/>
    </row>
    <row r="54" spans="2:16" ht="11.25" hidden="1">
      <c r="B54" s="125"/>
      <c r="C54" s="2" t="s">
        <v>103</v>
      </c>
      <c r="D54" s="12">
        <f>E11</f>
        <v>604586.6666666666</v>
      </c>
      <c r="E54" s="12">
        <f aca="true" t="shared" si="18" ref="E54:N54">F11</f>
        <v>471096.8888888889</v>
      </c>
      <c r="F54" s="12">
        <f t="shared" si="18"/>
        <v>380620.6482962963</v>
      </c>
      <c r="G54" s="12">
        <f t="shared" si="18"/>
        <v>320050.1936987655</v>
      </c>
      <c r="H54" s="12">
        <f t="shared" si="18"/>
        <v>280300.8069463441</v>
      </c>
      <c r="I54" s="12">
        <f t="shared" si="18"/>
        <v>255077.20570393995</v>
      </c>
      <c r="J54" s="12">
        <f t="shared" si="18"/>
        <v>240018.25469138537</v>
      </c>
      <c r="K54" s="12">
        <f t="shared" si="18"/>
        <v>232103.97100548036</v>
      </c>
      <c r="L54" s="12">
        <f t="shared" si="18"/>
        <v>229244.3868933643</v>
      </c>
      <c r="M54" s="12">
        <f t="shared" si="18"/>
        <v>229994.50058881316</v>
      </c>
      <c r="N54" s="12">
        <f t="shared" si="18"/>
        <v>215286.728798524</v>
      </c>
      <c r="O54" s="30"/>
      <c r="P54" s="126"/>
    </row>
    <row r="55" spans="2:16" ht="11.25" hidden="1">
      <c r="B55" s="125"/>
      <c r="C55" s="2" t="s">
        <v>107</v>
      </c>
      <c r="D55" s="12">
        <f>E13-E12+E14</f>
        <v>-4360</v>
      </c>
      <c r="E55" s="12">
        <f aca="true" t="shared" si="19" ref="E55:N55">F13-F12+F14</f>
        <v>-4534.400000000001</v>
      </c>
      <c r="F55" s="12">
        <f t="shared" si="19"/>
        <v>-4715.776000000001</v>
      </c>
      <c r="G55" s="12">
        <f t="shared" si="19"/>
        <v>-4904.407040000002</v>
      </c>
      <c r="H55" s="12">
        <f t="shared" si="19"/>
        <v>-5100.583321600002</v>
      </c>
      <c r="I55" s="12">
        <f t="shared" si="19"/>
        <v>-5304.606654464002</v>
      </c>
      <c r="J55" s="12">
        <f t="shared" si="19"/>
        <v>-5516.790920642562</v>
      </c>
      <c r="K55" s="12">
        <f t="shared" si="19"/>
        <v>-5579.550743959963</v>
      </c>
      <c r="L55" s="12">
        <f t="shared" si="19"/>
        <v>-5643.241842074978</v>
      </c>
      <c r="M55" s="12">
        <f t="shared" si="19"/>
        <v>-5707.885674798161</v>
      </c>
      <c r="N55" s="12">
        <f t="shared" si="19"/>
        <v>25875.808749822594</v>
      </c>
      <c r="O55" s="30"/>
      <c r="P55" s="126"/>
    </row>
    <row r="56" spans="2:16" ht="11.25" hidden="1">
      <c r="B56" s="125"/>
      <c r="C56" s="2" t="s">
        <v>29</v>
      </c>
      <c r="D56" s="12">
        <f>D54-D55</f>
        <v>608946.6666666666</v>
      </c>
      <c r="E56" s="12">
        <f aca="true" t="shared" si="20" ref="E56:N56">E54-E55</f>
        <v>475631.2888888889</v>
      </c>
      <c r="F56" s="12">
        <f t="shared" si="20"/>
        <v>385336.4242962963</v>
      </c>
      <c r="G56" s="12">
        <f t="shared" si="20"/>
        <v>324954.6007387655</v>
      </c>
      <c r="H56" s="12">
        <f t="shared" si="20"/>
        <v>285401.3902679441</v>
      </c>
      <c r="I56" s="12">
        <f t="shared" si="20"/>
        <v>260381.81235840396</v>
      </c>
      <c r="J56" s="12">
        <f t="shared" si="20"/>
        <v>245535.04561202793</v>
      </c>
      <c r="K56" s="12">
        <f t="shared" si="20"/>
        <v>237683.52174944032</v>
      </c>
      <c r="L56" s="12">
        <f t="shared" si="20"/>
        <v>234887.6287354393</v>
      </c>
      <c r="M56" s="12">
        <f t="shared" si="20"/>
        <v>235702.38626361132</v>
      </c>
      <c r="N56" s="12">
        <f t="shared" si="20"/>
        <v>189410.9200487014</v>
      </c>
      <c r="O56" s="30"/>
      <c r="P56" s="126"/>
    </row>
    <row r="57" spans="2:16" ht="11.25" hidden="1">
      <c r="B57" s="125"/>
      <c r="C57" s="30"/>
      <c r="D57" s="30"/>
      <c r="E57" s="30"/>
      <c r="F57" s="30"/>
      <c r="G57" s="30"/>
      <c r="H57" s="30"/>
      <c r="I57" s="30"/>
      <c r="J57" s="30"/>
      <c r="K57" s="30"/>
      <c r="L57" s="30"/>
      <c r="M57" s="30"/>
      <c r="N57" s="30"/>
      <c r="O57" s="30"/>
      <c r="P57" s="126"/>
    </row>
    <row r="58" spans="2:16" ht="5.25" customHeight="1" thickBot="1">
      <c r="B58" s="136"/>
      <c r="C58" s="137"/>
      <c r="D58" s="137"/>
      <c r="E58" s="137"/>
      <c r="F58" s="137"/>
      <c r="G58" s="137"/>
      <c r="H58" s="137"/>
      <c r="I58" s="137"/>
      <c r="J58" s="137"/>
      <c r="K58" s="137"/>
      <c r="L58" s="137"/>
      <c r="M58" s="137"/>
      <c r="N58" s="137"/>
      <c r="O58" s="137"/>
      <c r="P58" s="138"/>
    </row>
  </sheetData>
  <sheetProtection/>
  <mergeCells count="2">
    <mergeCell ref="C51:N51"/>
    <mergeCell ref="C3:O3"/>
  </mergeCells>
  <printOptions/>
  <pageMargins left="0.75" right="0.75" top="1" bottom="1" header="0.5" footer="0.5"/>
  <pageSetup fitToHeight="1" fitToWidth="1" orientation="landscape"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3:J29"/>
  <sheetViews>
    <sheetView view="pageBreakPreview" zoomScale="190" zoomScaleSheetLayoutView="190" zoomScalePageLayoutView="0" workbookViewId="0" topLeftCell="A10">
      <selection activeCell="F32" sqref="F32"/>
    </sheetView>
  </sheetViews>
  <sheetFormatPr defaultColWidth="9.00390625" defaultRowHeight="12"/>
  <cols>
    <col min="1" max="1" width="18.25390625" style="0" customWidth="1"/>
    <col min="2" max="3" width="1.37890625" style="0" customWidth="1"/>
    <col min="4" max="4" width="17.375" style="0" bestFit="1" customWidth="1"/>
    <col min="5" max="5" width="14.25390625" style="0" customWidth="1"/>
    <col min="6" max="6" width="13.00390625" style="0" customWidth="1"/>
    <col min="7" max="7" width="1.37890625" style="0" customWidth="1"/>
    <col min="8" max="8" width="5.75390625" style="0" customWidth="1"/>
    <col min="9" max="10" width="1.37890625" style="0" customWidth="1"/>
    <col min="11" max="11" width="2.875" style="0" customWidth="1"/>
  </cols>
  <sheetData>
    <row r="2" ht="12.75" thickBot="1"/>
    <row r="3" spans="2:10" ht="6" customHeight="1">
      <c r="B3" s="120"/>
      <c r="C3" s="121"/>
      <c r="D3" s="121"/>
      <c r="E3" s="121"/>
      <c r="F3" s="121"/>
      <c r="G3" s="121"/>
      <c r="H3" s="121"/>
      <c r="I3" s="121"/>
      <c r="J3" s="122"/>
    </row>
    <row r="4" spans="2:10" ht="12">
      <c r="B4" s="125"/>
      <c r="C4" s="30"/>
      <c r="D4" s="193" t="s">
        <v>182</v>
      </c>
      <c r="E4" s="193"/>
      <c r="F4" s="193"/>
      <c r="G4" s="193"/>
      <c r="H4" s="193"/>
      <c r="I4" s="139"/>
      <c r="J4" s="126"/>
    </row>
    <row r="5" spans="2:10" ht="7.5" customHeight="1">
      <c r="B5" s="125"/>
      <c r="C5" s="30"/>
      <c r="D5" s="30"/>
      <c r="E5" s="30"/>
      <c r="F5" s="30"/>
      <c r="G5" s="30"/>
      <c r="H5" s="30"/>
      <c r="I5" s="30"/>
      <c r="J5" s="126"/>
    </row>
    <row r="6" spans="2:10" ht="4.5" customHeight="1">
      <c r="B6" s="125"/>
      <c r="C6" s="178"/>
      <c r="D6" s="179"/>
      <c r="E6" s="179"/>
      <c r="F6" s="179"/>
      <c r="G6" s="179"/>
      <c r="H6" s="179"/>
      <c r="I6" s="180"/>
      <c r="J6" s="126"/>
    </row>
    <row r="7" spans="2:10" ht="12">
      <c r="B7" s="125"/>
      <c r="C7" s="181"/>
      <c r="D7" s="188" t="s">
        <v>113</v>
      </c>
      <c r="E7" s="127"/>
      <c r="F7" s="30"/>
      <c r="G7" s="30"/>
      <c r="H7" s="30"/>
      <c r="I7" s="182"/>
      <c r="J7" s="126"/>
    </row>
    <row r="8" spans="2:10" ht="7.5" customHeight="1" thickBot="1">
      <c r="B8" s="125"/>
      <c r="C8" s="181"/>
      <c r="D8" s="127"/>
      <c r="E8" s="127"/>
      <c r="F8" s="30"/>
      <c r="G8" s="30"/>
      <c r="H8" s="30"/>
      <c r="I8" s="182"/>
      <c r="J8" s="126"/>
    </row>
    <row r="9" spans="2:10" ht="12.75" thickBot="1">
      <c r="B9" s="125"/>
      <c r="C9" s="181"/>
      <c r="D9" s="30" t="s">
        <v>185</v>
      </c>
      <c r="E9" s="30"/>
      <c r="F9" s="189">
        <v>12</v>
      </c>
      <c r="G9" s="30"/>
      <c r="H9" s="30"/>
      <c r="I9" s="182"/>
      <c r="J9" s="126"/>
    </row>
    <row r="10" spans="2:10" ht="12.75" thickBot="1">
      <c r="B10" s="125"/>
      <c r="C10" s="181"/>
      <c r="D10" s="30" t="s">
        <v>186</v>
      </c>
      <c r="E10" s="30"/>
      <c r="F10" s="176">
        <f>(('DCF Valuation'!D11-'DCF Input Sheet'!D10)/'DCF Input Sheet'!E54)*F9</f>
        <v>4.74</v>
      </c>
      <c r="G10" s="30"/>
      <c r="H10" s="30"/>
      <c r="I10" s="182"/>
      <c r="J10" s="126"/>
    </row>
    <row r="11" spans="2:10" ht="12.75" thickBot="1">
      <c r="B11" s="125"/>
      <c r="C11" s="181"/>
      <c r="D11" s="30"/>
      <c r="E11" s="30"/>
      <c r="F11" s="30"/>
      <c r="G11" s="30"/>
      <c r="H11" s="30"/>
      <c r="I11" s="182"/>
      <c r="J11" s="126"/>
    </row>
    <row r="12" spans="2:10" ht="12">
      <c r="B12" s="125"/>
      <c r="C12" s="181"/>
      <c r="D12" s="30" t="s">
        <v>112</v>
      </c>
      <c r="E12" s="30"/>
      <c r="F12" s="191">
        <v>1</v>
      </c>
      <c r="G12" s="30"/>
      <c r="H12" s="131"/>
      <c r="I12" s="183"/>
      <c r="J12" s="126"/>
    </row>
    <row r="13" spans="2:10" ht="12.75" thickBot="1">
      <c r="B13" s="125"/>
      <c r="C13" s="181"/>
      <c r="D13" s="30" t="s">
        <v>184</v>
      </c>
      <c r="E13" s="30"/>
      <c r="F13" s="190">
        <v>0.08</v>
      </c>
      <c r="G13" s="30"/>
      <c r="H13" s="30"/>
      <c r="I13" s="182"/>
      <c r="J13" s="126"/>
    </row>
    <row r="14" spans="2:10" ht="12.75" thickBot="1">
      <c r="B14" s="125"/>
      <c r="C14" s="181"/>
      <c r="D14" s="30" t="s">
        <v>186</v>
      </c>
      <c r="E14" s="30"/>
      <c r="F14" s="192">
        <f>F12*F13*100*('DCF Valuation'!D11-'DCF Input Sheet'!D10)/'DCF Input Sheet'!E54</f>
        <v>3.16</v>
      </c>
      <c r="G14" s="30"/>
      <c r="H14" s="30"/>
      <c r="I14" s="182"/>
      <c r="J14" s="126"/>
    </row>
    <row r="15" spans="2:10" ht="12.75" thickBot="1">
      <c r="B15" s="125"/>
      <c r="C15" s="181"/>
      <c r="D15" s="30"/>
      <c r="E15" s="30"/>
      <c r="F15" s="30"/>
      <c r="G15" s="30"/>
      <c r="H15" s="30"/>
      <c r="I15" s="182"/>
      <c r="J15" s="126"/>
    </row>
    <row r="16" spans="2:10" s="8" customFormat="1" ht="12.75" thickBot="1">
      <c r="B16" s="164"/>
      <c r="C16" s="184"/>
      <c r="D16" s="165" t="s">
        <v>116</v>
      </c>
      <c r="E16" s="165"/>
      <c r="F16" s="199">
        <v>1.2</v>
      </c>
      <c r="G16" s="166"/>
      <c r="H16" s="166"/>
      <c r="I16" s="185"/>
      <c r="J16" s="167"/>
    </row>
    <row r="17" spans="2:10" ht="12.75" thickBot="1">
      <c r="B17" s="125"/>
      <c r="C17" s="181"/>
      <c r="D17" s="30" t="s">
        <v>186</v>
      </c>
      <c r="E17" s="30"/>
      <c r="F17" s="176">
        <f>F16*'DCF Input Sheet'!D13/'DCF Input Sheet'!E54</f>
        <v>5.4</v>
      </c>
      <c r="G17" s="30"/>
      <c r="H17" s="30"/>
      <c r="I17" s="182"/>
      <c r="J17" s="126"/>
    </row>
    <row r="18" spans="2:10" ht="4.5" customHeight="1">
      <c r="B18" s="125"/>
      <c r="C18" s="186"/>
      <c r="D18" s="140"/>
      <c r="E18" s="140"/>
      <c r="F18" s="187"/>
      <c r="G18" s="140"/>
      <c r="H18" s="140"/>
      <c r="I18" s="35"/>
      <c r="J18" s="126"/>
    </row>
    <row r="19" spans="2:10" ht="7.5" customHeight="1">
      <c r="B19" s="125"/>
      <c r="C19" s="30"/>
      <c r="D19" s="30"/>
      <c r="E19" s="30"/>
      <c r="F19" s="30"/>
      <c r="G19" s="30"/>
      <c r="H19" s="30"/>
      <c r="I19" s="30"/>
      <c r="J19" s="126"/>
    </row>
    <row r="20" spans="2:10" ht="4.5" customHeight="1">
      <c r="B20" s="125"/>
      <c r="C20" s="178"/>
      <c r="D20" s="179"/>
      <c r="E20" s="179"/>
      <c r="F20" s="179"/>
      <c r="G20" s="179"/>
      <c r="H20" s="179"/>
      <c r="I20" s="180"/>
      <c r="J20" s="126"/>
    </row>
    <row r="21" spans="2:10" ht="12">
      <c r="B21" s="125"/>
      <c r="C21" s="181"/>
      <c r="D21" s="188" t="s">
        <v>114</v>
      </c>
      <c r="E21" s="127"/>
      <c r="F21" s="30"/>
      <c r="G21" s="30"/>
      <c r="H21" s="30"/>
      <c r="I21" s="182"/>
      <c r="J21" s="126"/>
    </row>
    <row r="22" spans="2:10" ht="7.5" customHeight="1" thickBot="1">
      <c r="B22" s="125"/>
      <c r="C22" s="181"/>
      <c r="D22" s="127"/>
      <c r="E22" s="127"/>
      <c r="F22" s="30"/>
      <c r="G22" s="30"/>
      <c r="H22" s="30"/>
      <c r="I22" s="182"/>
      <c r="J22" s="126"/>
    </row>
    <row r="23" spans="2:10" ht="12.75" thickBot="1">
      <c r="B23" s="125"/>
      <c r="C23" s="181"/>
      <c r="D23" s="30" t="s">
        <v>115</v>
      </c>
      <c r="E23" s="30"/>
      <c r="F23" s="189">
        <v>12</v>
      </c>
      <c r="G23" s="30"/>
      <c r="H23" s="30"/>
      <c r="I23" s="182"/>
      <c r="J23" s="126"/>
    </row>
    <row r="24" spans="2:10" ht="12.75" thickBot="1">
      <c r="B24" s="125"/>
      <c r="C24" s="181"/>
      <c r="D24" s="30" t="s">
        <v>186</v>
      </c>
      <c r="E24" s="30"/>
      <c r="F24" s="176">
        <f>F23*('DCF Input Sheet'!D9+'DCF Input Sheet'!D12)/'DCF Input Sheet'!E54</f>
        <v>6.024</v>
      </c>
      <c r="G24" s="30"/>
      <c r="H24" s="30"/>
      <c r="I24" s="182"/>
      <c r="J24" s="126"/>
    </row>
    <row r="25" spans="2:10" ht="12.75" thickBot="1">
      <c r="B25" s="125"/>
      <c r="C25" s="181"/>
      <c r="D25" s="30"/>
      <c r="E25" s="30"/>
      <c r="F25" s="30"/>
      <c r="G25" s="30"/>
      <c r="H25" s="30"/>
      <c r="I25" s="182"/>
      <c r="J25" s="126"/>
    </row>
    <row r="26" spans="2:10" ht="12.75" thickBot="1">
      <c r="B26" s="125"/>
      <c r="C26" s="181"/>
      <c r="D26" s="30" t="s">
        <v>94</v>
      </c>
      <c r="E26" s="30"/>
      <c r="F26" s="189">
        <v>1.2</v>
      </c>
      <c r="G26" s="30"/>
      <c r="H26" s="30"/>
      <c r="I26" s="182"/>
      <c r="J26" s="126"/>
    </row>
    <row r="27" spans="2:10" ht="12.75" thickBot="1">
      <c r="B27" s="125"/>
      <c r="C27" s="181"/>
      <c r="D27" s="30" t="s">
        <v>186</v>
      </c>
      <c r="E27" s="30"/>
      <c r="F27" s="176">
        <f>F26*'DCF Input Sheet'!D13/'DCF Input Sheet'!E54</f>
        <v>5.4</v>
      </c>
      <c r="G27" s="30"/>
      <c r="H27" s="30"/>
      <c r="I27" s="182"/>
      <c r="J27" s="126"/>
    </row>
    <row r="28" spans="2:10" ht="4.5" customHeight="1">
      <c r="B28" s="125"/>
      <c r="C28" s="186"/>
      <c r="D28" s="140"/>
      <c r="E28" s="140"/>
      <c r="F28" s="140"/>
      <c r="G28" s="140"/>
      <c r="H28" s="140"/>
      <c r="I28" s="35"/>
      <c r="J28" s="126"/>
    </row>
    <row r="29" spans="2:10" ht="6" customHeight="1" thickBot="1">
      <c r="B29" s="136"/>
      <c r="C29" s="137"/>
      <c r="D29" s="137"/>
      <c r="E29" s="137"/>
      <c r="F29" s="137"/>
      <c r="G29" s="137"/>
      <c r="H29" s="137"/>
      <c r="I29" s="137"/>
      <c r="J29" s="138"/>
    </row>
  </sheetData>
  <sheetProtection/>
  <mergeCells count="1">
    <mergeCell ref="D4:H4"/>
  </mergeCells>
  <printOptions/>
  <pageMargins left="0.7" right="0.7" top="0.75" bottom="0.75" header="0.3" footer="0.3"/>
  <pageSetup fitToHeight="1" fitToWidth="1"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view="pageBreakPreview" zoomScale="130" zoomScaleSheetLayoutView="13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G15" sqref="G15"/>
    </sheetView>
  </sheetViews>
  <sheetFormatPr defaultColWidth="11.375" defaultRowHeight="12"/>
  <cols>
    <col min="1" max="1" width="20.00390625" style="0" bestFit="1" customWidth="1"/>
    <col min="2" max="2" width="14.625" style="0" bestFit="1" customWidth="1"/>
    <col min="3" max="3" width="14.00390625" style="0" bestFit="1" customWidth="1"/>
    <col min="4" max="4" width="12.125" style="0" bestFit="1" customWidth="1"/>
    <col min="5" max="5" width="11.625" style="0" bestFit="1" customWidth="1"/>
    <col min="6" max="6" width="13.00390625" style="0" bestFit="1" customWidth="1"/>
    <col min="7" max="7" width="8.75390625" style="0" bestFit="1" customWidth="1"/>
    <col min="8" max="8" width="8.375" style="0" bestFit="1" customWidth="1"/>
    <col min="9" max="9" width="15.875" style="0" bestFit="1" customWidth="1"/>
    <col min="10" max="10" width="22.375" style="0" bestFit="1" customWidth="1"/>
    <col min="11" max="11" width="10.125" style="0" bestFit="1" customWidth="1"/>
    <col min="12" max="12" width="12.125" style="0" bestFit="1" customWidth="1"/>
    <col min="13" max="13" width="8.875" style="0" bestFit="1" customWidth="1"/>
  </cols>
  <sheetData>
    <row r="1" spans="1:13" s="33" customFormat="1" ht="12" thickBot="1">
      <c r="A1" s="157" t="s">
        <v>64</v>
      </c>
      <c r="B1" s="158" t="s">
        <v>92</v>
      </c>
      <c r="C1" s="158" t="s">
        <v>71</v>
      </c>
      <c r="D1" s="158" t="s">
        <v>162</v>
      </c>
      <c r="E1" s="158" t="s">
        <v>163</v>
      </c>
      <c r="F1" s="158" t="s">
        <v>164</v>
      </c>
      <c r="G1" s="158" t="s">
        <v>4</v>
      </c>
      <c r="H1" s="158" t="s">
        <v>5</v>
      </c>
      <c r="I1" s="158" t="s">
        <v>3</v>
      </c>
      <c r="J1" s="158" t="s">
        <v>93</v>
      </c>
      <c r="K1" s="158" t="s">
        <v>6</v>
      </c>
      <c r="L1" s="159" t="s">
        <v>7</v>
      </c>
      <c r="M1" s="158" t="s">
        <v>94</v>
      </c>
    </row>
    <row r="2" spans="1:13" ht="12" thickTop="1">
      <c r="A2" s="25" t="s">
        <v>65</v>
      </c>
      <c r="B2" s="27">
        <v>31</v>
      </c>
      <c r="C2" s="28">
        <v>1.75</v>
      </c>
      <c r="D2" s="29">
        <v>0.4326</v>
      </c>
      <c r="E2" s="29">
        <f>D2/(1+D2)</f>
        <v>0.30196844897389363</v>
      </c>
      <c r="F2" s="29">
        <f>1-E2</f>
        <v>0.6980315510261064</v>
      </c>
      <c r="G2" s="29">
        <v>0.0889</v>
      </c>
      <c r="H2" s="29">
        <v>0.1054</v>
      </c>
      <c r="I2" s="29">
        <v>0.1073</v>
      </c>
      <c r="J2" s="29">
        <v>0.0744</v>
      </c>
      <c r="K2" s="29">
        <v>0.0363</v>
      </c>
      <c r="L2" s="28">
        <v>1.42</v>
      </c>
      <c r="M2" s="28">
        <v>1.14</v>
      </c>
    </row>
    <row r="3" spans="1:13" ht="11.25">
      <c r="A3" s="25" t="s">
        <v>10</v>
      </c>
      <c r="B3" s="27">
        <v>34</v>
      </c>
      <c r="C3" s="28">
        <v>0.77</v>
      </c>
      <c r="D3" s="29">
        <v>0.2652</v>
      </c>
      <c r="E3" s="29">
        <f aca="true" t="shared" si="0" ref="E3:E12">D3/(1+D3)</f>
        <v>0.20961112867530823</v>
      </c>
      <c r="F3" s="29">
        <f aca="true" t="shared" si="1" ref="F3:F12">1-E3</f>
        <v>0.7903888713246918</v>
      </c>
      <c r="G3" s="29">
        <v>0.2458</v>
      </c>
      <c r="H3" s="29">
        <v>0.1295</v>
      </c>
      <c r="I3" s="29">
        <v>0.1914</v>
      </c>
      <c r="J3" s="29">
        <v>0.156</v>
      </c>
      <c r="K3" s="29">
        <v>0.1399</v>
      </c>
      <c r="L3" s="28">
        <v>0.83</v>
      </c>
      <c r="M3" s="28">
        <v>3.03</v>
      </c>
    </row>
    <row r="4" spans="1:13" ht="11.25">
      <c r="A4" s="25" t="s">
        <v>177</v>
      </c>
      <c r="B4" s="27">
        <v>31</v>
      </c>
      <c r="C4" s="28">
        <v>1.39</v>
      </c>
      <c r="D4" s="29">
        <v>0.2237</v>
      </c>
      <c r="E4" s="29">
        <f t="shared" si="0"/>
        <v>0.18280624336030074</v>
      </c>
      <c r="F4" s="29">
        <f t="shared" si="1"/>
        <v>0.8171937566396993</v>
      </c>
      <c r="G4" s="29">
        <v>0.1926</v>
      </c>
      <c r="H4" s="29">
        <v>0.1381</v>
      </c>
      <c r="I4" s="29">
        <v>0.2173</v>
      </c>
      <c r="J4" s="29">
        <v>0.093</v>
      </c>
      <c r="K4" s="29">
        <v>0.0879</v>
      </c>
      <c r="L4" s="28">
        <v>1.48</v>
      </c>
      <c r="M4" s="28">
        <v>1.62</v>
      </c>
    </row>
    <row r="5" spans="1:13" ht="11.25">
      <c r="A5" s="25" t="s">
        <v>77</v>
      </c>
      <c r="B5" s="27">
        <v>107</v>
      </c>
      <c r="C5" s="28">
        <v>0.71</v>
      </c>
      <c r="D5" s="29">
        <v>1.0224</v>
      </c>
      <c r="E5" s="29">
        <f t="shared" si="0"/>
        <v>0.5055379746835442</v>
      </c>
      <c r="F5" s="29">
        <f t="shared" si="1"/>
        <v>0.4944620253164558</v>
      </c>
      <c r="G5" s="29">
        <v>0.3328</v>
      </c>
      <c r="H5" s="29">
        <v>0.0801</v>
      </c>
      <c r="I5" s="29">
        <v>0.1555</v>
      </c>
      <c r="J5" s="29">
        <v>0.1176</v>
      </c>
      <c r="K5" s="29">
        <v>0.0921</v>
      </c>
      <c r="L5" s="28">
        <v>0.68</v>
      </c>
      <c r="M5" s="28">
        <v>2.11</v>
      </c>
    </row>
    <row r="6" spans="1:13" ht="11.25">
      <c r="A6" s="25" t="s">
        <v>78</v>
      </c>
      <c r="B6" s="27">
        <v>279</v>
      </c>
      <c r="C6" s="28">
        <v>1.08</v>
      </c>
      <c r="D6" s="29">
        <v>0.1546</v>
      </c>
      <c r="E6" s="29">
        <f t="shared" si="0"/>
        <v>0.1338991858652347</v>
      </c>
      <c r="F6" s="29">
        <f t="shared" si="1"/>
        <v>0.8661008141347653</v>
      </c>
      <c r="G6" s="29">
        <v>0.2264</v>
      </c>
      <c r="H6" s="29">
        <v>0.1502</v>
      </c>
      <c r="I6" s="29">
        <v>0.0536</v>
      </c>
      <c r="J6" s="29">
        <v>0.1696</v>
      </c>
      <c r="K6" s="29">
        <v>0.1799</v>
      </c>
      <c r="L6" s="28">
        <v>0.89</v>
      </c>
      <c r="M6" s="28">
        <v>2.85</v>
      </c>
    </row>
    <row r="7" spans="1:13" s="34" customFormat="1" ht="11.25">
      <c r="A7" s="25" t="s">
        <v>120</v>
      </c>
      <c r="B7" s="40">
        <v>112</v>
      </c>
      <c r="C7" s="41">
        <v>0.73</v>
      </c>
      <c r="D7" s="42">
        <v>0.2953</v>
      </c>
      <c r="E7" s="29">
        <f t="shared" si="0"/>
        <v>0.22797807457731797</v>
      </c>
      <c r="F7" s="29">
        <f t="shared" si="1"/>
        <v>0.772021925422682</v>
      </c>
      <c r="G7" s="42">
        <v>0.1339</v>
      </c>
      <c r="H7" s="42">
        <v>0.1188</v>
      </c>
      <c r="I7" s="42">
        <v>0.2</v>
      </c>
      <c r="J7" s="42">
        <v>0.1462</v>
      </c>
      <c r="K7" s="42">
        <v>0.0793</v>
      </c>
      <c r="L7" s="41">
        <v>1.82</v>
      </c>
      <c r="M7" s="41">
        <v>1.08</v>
      </c>
    </row>
    <row r="8" spans="1:13" ht="11.25">
      <c r="A8" s="25" t="s">
        <v>95</v>
      </c>
      <c r="B8" s="27">
        <v>25</v>
      </c>
      <c r="C8" s="28">
        <v>1.2</v>
      </c>
      <c r="D8" s="29">
        <v>0.0635</v>
      </c>
      <c r="E8" s="29">
        <f t="shared" si="0"/>
        <v>0.05970850963798778</v>
      </c>
      <c r="F8" s="29">
        <f t="shared" si="1"/>
        <v>0.9402914903620122</v>
      </c>
      <c r="G8" s="29">
        <v>0.11</v>
      </c>
      <c r="H8" s="29">
        <v>0.0945</v>
      </c>
      <c r="I8" s="29">
        <v>0.2219</v>
      </c>
      <c r="J8" s="29">
        <v>0.0764</v>
      </c>
      <c r="K8" s="29">
        <v>0.0881</v>
      </c>
      <c r="L8" s="28">
        <v>1.24</v>
      </c>
      <c r="M8" s="28">
        <v>3.82</v>
      </c>
    </row>
    <row r="9" spans="1:13" ht="11.25">
      <c r="A9" s="25" t="s">
        <v>70</v>
      </c>
      <c r="B9" s="27">
        <v>26</v>
      </c>
      <c r="C9" s="28">
        <v>0.95</v>
      </c>
      <c r="D9" s="29">
        <v>0.1899</v>
      </c>
      <c r="E9" s="29">
        <f t="shared" si="0"/>
        <v>0.15959324312967477</v>
      </c>
      <c r="F9" s="29">
        <f t="shared" si="1"/>
        <v>0.8404067568703253</v>
      </c>
      <c r="G9" s="29">
        <v>0.218</v>
      </c>
      <c r="H9" s="29">
        <v>0.1452</v>
      </c>
      <c r="I9" s="29">
        <v>0.2512</v>
      </c>
      <c r="J9" s="29">
        <v>0.1279</v>
      </c>
      <c r="K9" s="29">
        <v>0.1166</v>
      </c>
      <c r="L9" s="28">
        <v>1.13</v>
      </c>
      <c r="M9" s="28">
        <v>2.21</v>
      </c>
    </row>
    <row r="10" spans="1:13" ht="11.25">
      <c r="A10" s="25" t="s">
        <v>176</v>
      </c>
      <c r="B10" s="27">
        <v>30</v>
      </c>
      <c r="C10" s="28">
        <v>1.54</v>
      </c>
      <c r="D10" s="29">
        <v>0.6414</v>
      </c>
      <c r="E10" s="29">
        <f t="shared" si="0"/>
        <v>0.3907639819666139</v>
      </c>
      <c r="F10" s="29">
        <f t="shared" si="1"/>
        <v>0.6092360180333861</v>
      </c>
      <c r="G10" s="29">
        <v>0.1045</v>
      </c>
      <c r="H10" s="29" t="s">
        <v>72</v>
      </c>
      <c r="I10" s="29">
        <v>0.2804</v>
      </c>
      <c r="J10" s="29" t="s">
        <v>72</v>
      </c>
      <c r="K10" s="29" t="s">
        <v>72</v>
      </c>
      <c r="L10" s="28" t="s">
        <v>72</v>
      </c>
      <c r="M10" s="28" t="s">
        <v>72</v>
      </c>
    </row>
    <row r="11" spans="1:13" ht="11.25">
      <c r="A11" s="25" t="s">
        <v>81</v>
      </c>
      <c r="B11" s="27">
        <v>26</v>
      </c>
      <c r="C11" s="28">
        <v>0.88</v>
      </c>
      <c r="D11" s="29">
        <v>0.5182</v>
      </c>
      <c r="E11" s="29">
        <f t="shared" si="0"/>
        <v>0.3413252535897774</v>
      </c>
      <c r="F11" s="29">
        <f t="shared" si="1"/>
        <v>0.6586747464102226</v>
      </c>
      <c r="G11" s="29">
        <v>0.1752</v>
      </c>
      <c r="H11" s="29">
        <v>0.104</v>
      </c>
      <c r="I11" s="29">
        <v>0.2423</v>
      </c>
      <c r="J11" s="29">
        <v>0.0702</v>
      </c>
      <c r="K11" s="29">
        <v>0.1346</v>
      </c>
      <c r="L11" s="28">
        <v>1.48</v>
      </c>
      <c r="M11" s="28">
        <v>1.06</v>
      </c>
    </row>
    <row r="12" spans="1:13" ht="11.25">
      <c r="A12" s="25" t="s">
        <v>96</v>
      </c>
      <c r="B12" s="27">
        <v>32</v>
      </c>
      <c r="C12" s="28">
        <v>0.96</v>
      </c>
      <c r="D12" s="29">
        <v>0.5986</v>
      </c>
      <c r="E12" s="29">
        <f t="shared" si="0"/>
        <v>0.37445264606530715</v>
      </c>
      <c r="F12" s="29">
        <f t="shared" si="1"/>
        <v>0.6255473539346929</v>
      </c>
      <c r="G12" s="29">
        <v>0.084</v>
      </c>
      <c r="H12" s="29">
        <v>0.1101</v>
      </c>
      <c r="I12" s="29">
        <v>0.1061</v>
      </c>
      <c r="J12" s="29">
        <v>0.0984</v>
      </c>
      <c r="K12" s="29">
        <v>0.0463</v>
      </c>
      <c r="L12" s="28">
        <v>1.12</v>
      </c>
      <c r="M12" s="28">
        <v>1.06</v>
      </c>
    </row>
    <row r="13" spans="1:13" ht="11.25">
      <c r="A13" s="25" t="s">
        <v>8</v>
      </c>
      <c r="B13" s="27">
        <v>19</v>
      </c>
      <c r="C13" s="28">
        <v>1</v>
      </c>
      <c r="D13" s="29">
        <v>0.2048</v>
      </c>
      <c r="E13" s="29">
        <f>D13/(1+D13)</f>
        <v>0.1699867197875166</v>
      </c>
      <c r="F13" s="29">
        <f>1-E13</f>
        <v>0.8300132802124834</v>
      </c>
      <c r="G13" s="29">
        <v>0.1482</v>
      </c>
      <c r="H13" s="29">
        <v>0.1118</v>
      </c>
      <c r="I13" s="29">
        <v>0.2467</v>
      </c>
      <c r="J13" s="29">
        <v>0.0314</v>
      </c>
      <c r="K13" s="29">
        <v>0.0291</v>
      </c>
      <c r="L13" s="28">
        <v>3.56</v>
      </c>
      <c r="M13" s="28">
        <v>0.53</v>
      </c>
    </row>
    <row r="14" spans="1:13" ht="11.25">
      <c r="A14" s="25" t="s">
        <v>18</v>
      </c>
      <c r="B14" s="27">
        <v>37</v>
      </c>
      <c r="C14" s="28">
        <v>1.14</v>
      </c>
      <c r="D14" s="29">
        <v>0.2558</v>
      </c>
      <c r="E14" s="29">
        <f>D14/(1+D14)</f>
        <v>0.20369485586876893</v>
      </c>
      <c r="F14" s="29">
        <f>1-E14</f>
        <v>0.7963051441312311</v>
      </c>
      <c r="G14" s="29">
        <v>0.2101</v>
      </c>
      <c r="H14" s="29">
        <v>0.136</v>
      </c>
      <c r="I14" s="29">
        <v>0.2502</v>
      </c>
      <c r="J14" s="29">
        <v>0.0383</v>
      </c>
      <c r="K14" s="29">
        <v>0.0345</v>
      </c>
      <c r="L14" s="28">
        <v>3.55</v>
      </c>
      <c r="M14" s="28">
        <v>0.59</v>
      </c>
    </row>
    <row r="15" spans="1:13" ht="11.25">
      <c r="A15" s="25" t="s">
        <v>0</v>
      </c>
      <c r="B15" s="27">
        <v>30</v>
      </c>
      <c r="C15" s="28">
        <v>0.64</v>
      </c>
      <c r="D15" s="29">
        <v>0.4134</v>
      </c>
      <c r="E15" s="29">
        <f>D15/(1+D15)</f>
        <v>0.2924862034809679</v>
      </c>
      <c r="F15" s="29">
        <f>1-E15</f>
        <v>0.7075137965190321</v>
      </c>
      <c r="G15" s="29">
        <v>0.1643</v>
      </c>
      <c r="H15" s="29">
        <v>0.1038</v>
      </c>
      <c r="I15" s="29">
        <v>0.3121</v>
      </c>
      <c r="J15" s="29">
        <v>0.0207</v>
      </c>
      <c r="K15" s="29">
        <v>0.0416</v>
      </c>
      <c r="L15" s="28">
        <v>5.02</v>
      </c>
      <c r="M15" s="28">
        <v>0.35</v>
      </c>
    </row>
    <row r="16" spans="1:13" ht="12" thickBot="1">
      <c r="A16" s="25" t="s">
        <v>23</v>
      </c>
      <c r="B16" s="27">
        <v>15</v>
      </c>
      <c r="C16" s="28">
        <v>1.2</v>
      </c>
      <c r="D16" s="29">
        <v>0.2064</v>
      </c>
      <c r="E16" s="29">
        <f>D16/(1+D16)</f>
        <v>0.1710875331564987</v>
      </c>
      <c r="F16" s="29">
        <f>1-E16</f>
        <v>0.8289124668435013</v>
      </c>
      <c r="G16" s="29">
        <v>0.6253</v>
      </c>
      <c r="H16" s="29">
        <v>0.1954</v>
      </c>
      <c r="I16" s="29">
        <v>0.203</v>
      </c>
      <c r="J16" s="29">
        <v>0.0724</v>
      </c>
      <c r="K16" s="29">
        <v>0.0737</v>
      </c>
      <c r="L16" s="28">
        <v>2.7</v>
      </c>
      <c r="M16" s="28">
        <v>1.48</v>
      </c>
    </row>
    <row r="17" spans="1:13" ht="12" thickTop="1">
      <c r="A17" s="150" t="s">
        <v>121</v>
      </c>
      <c r="B17" s="160">
        <v>5891</v>
      </c>
      <c r="C17" s="161">
        <v>0.92</v>
      </c>
      <c r="D17" s="162">
        <v>0.4664</v>
      </c>
      <c r="E17" s="163">
        <f>D17/(1+D17)</f>
        <v>0.3180578286961266</v>
      </c>
      <c r="F17" s="163">
        <f>1-E17</f>
        <v>0.6819421713038734</v>
      </c>
      <c r="G17" s="162">
        <v>0.1607</v>
      </c>
      <c r="H17" s="162">
        <v>0.1221</v>
      </c>
      <c r="I17" s="162">
        <v>0.1548</v>
      </c>
      <c r="J17" s="162">
        <v>0.1262</v>
      </c>
      <c r="K17" s="162">
        <v>0.0832</v>
      </c>
      <c r="L17" s="161">
        <v>0.97</v>
      </c>
      <c r="M17" s="161">
        <v>1.67</v>
      </c>
    </row>
  </sheetData>
  <sheetProtection/>
  <printOptions/>
  <pageMargins left="0.75" right="0.75" top="1" bottom="1" header="0.5" footer="0.5"/>
  <pageSetup fitToHeight="1" fitToWidth="1" horizontalDpi="600" verticalDpi="600" orientation="landscape" scale="78" r:id="rId1"/>
</worksheet>
</file>

<file path=xl/worksheets/sheet6.xml><?xml version="1.0" encoding="utf-8"?>
<worksheet xmlns="http://schemas.openxmlformats.org/spreadsheetml/2006/main" xmlns:r="http://schemas.openxmlformats.org/officeDocument/2006/relationships">
  <sheetPr>
    <pageSetUpPr fitToPage="1"/>
  </sheetPr>
  <dimension ref="A1:Q27"/>
  <sheetViews>
    <sheetView tabSelected="1" view="pageBreakPreview" zoomScale="115" zoomScaleSheetLayoutView="115" zoomScalePageLayoutView="0" workbookViewId="0" topLeftCell="A1">
      <pane xSplit="1" ySplit="1" topLeftCell="C2" activePane="bottomRight" state="frozen"/>
      <selection pane="topLeft" activeCell="A1" sqref="A1"/>
      <selection pane="topRight" activeCell="B1" sqref="B1"/>
      <selection pane="bottomLeft" activeCell="A2" sqref="A2"/>
      <selection pane="bottomRight" activeCell="I1" sqref="I1"/>
    </sheetView>
  </sheetViews>
  <sheetFormatPr defaultColWidth="11.375" defaultRowHeight="12"/>
  <cols>
    <col min="1" max="1" width="20.00390625" style="0" bestFit="1" customWidth="1"/>
    <col min="2" max="2" width="154.00390625" style="37" bestFit="1" customWidth="1"/>
    <col min="3" max="3" width="14.375" style="0" customWidth="1"/>
    <col min="4" max="4" width="17.625" style="0" customWidth="1"/>
    <col min="5" max="5" width="14.375" style="0" customWidth="1"/>
    <col min="6" max="6" width="15.375" style="0" bestFit="1" customWidth="1"/>
    <col min="7" max="7" width="10.75390625" style="0" customWidth="1"/>
    <col min="8" max="8" width="14.25390625" style="0" customWidth="1"/>
    <col min="9" max="9" width="15.375" style="0" bestFit="1" customWidth="1"/>
    <col min="10" max="11" width="10.75390625" style="0" customWidth="1"/>
    <col min="12" max="13" width="14.875" style="0" bestFit="1" customWidth="1"/>
    <col min="14" max="14" width="14.875" style="0" customWidth="1"/>
    <col min="15" max="17" width="10.75390625" style="0" customWidth="1"/>
  </cols>
  <sheetData>
    <row r="1" spans="1:17" s="33" customFormat="1" ht="34.5" thickBot="1">
      <c r="A1" s="142" t="s">
        <v>117</v>
      </c>
      <c r="B1" s="143" t="s">
        <v>129</v>
      </c>
      <c r="C1" s="144" t="s">
        <v>119</v>
      </c>
      <c r="D1" s="145" t="s">
        <v>153</v>
      </c>
      <c r="E1" s="145" t="s">
        <v>152</v>
      </c>
      <c r="F1" s="145" t="s">
        <v>172</v>
      </c>
      <c r="G1" s="146" t="s">
        <v>33</v>
      </c>
      <c r="H1" s="145" t="s">
        <v>147</v>
      </c>
      <c r="I1" s="145" t="s">
        <v>165</v>
      </c>
      <c r="J1" s="145" t="s">
        <v>148</v>
      </c>
      <c r="K1" s="147" t="s">
        <v>118</v>
      </c>
      <c r="L1" s="145" t="s">
        <v>149</v>
      </c>
      <c r="M1" s="145" t="s">
        <v>150</v>
      </c>
      <c r="N1" s="145" t="s">
        <v>151</v>
      </c>
      <c r="O1" s="142" t="s">
        <v>175</v>
      </c>
      <c r="P1" s="148" t="s">
        <v>173</v>
      </c>
      <c r="Q1" s="149" t="s">
        <v>174</v>
      </c>
    </row>
    <row r="2" spans="1:17" ht="12">
      <c r="A2" s="25" t="s">
        <v>122</v>
      </c>
      <c r="B2" s="141" t="s">
        <v>131</v>
      </c>
      <c r="C2" s="46">
        <v>16.83</v>
      </c>
      <c r="D2" s="44">
        <v>20.331</v>
      </c>
      <c r="E2" s="46">
        <f>C2*D2/1000</f>
        <v>0.3421707299999999</v>
      </c>
      <c r="F2" s="49">
        <v>0.283</v>
      </c>
      <c r="G2" s="35">
        <v>0.38</v>
      </c>
      <c r="H2" s="49">
        <v>0.228</v>
      </c>
      <c r="I2" s="118">
        <v>-0.0076</v>
      </c>
      <c r="J2" s="49">
        <v>0.03127</v>
      </c>
      <c r="K2" s="46">
        <v>0.92</v>
      </c>
      <c r="L2" s="48">
        <v>0.05</v>
      </c>
      <c r="M2" s="50">
        <f>C2/K2</f>
        <v>18.293478260869563</v>
      </c>
      <c r="N2" s="51">
        <f>M2/(L2*100)</f>
        <v>3.6586956521739125</v>
      </c>
      <c r="O2" s="51">
        <f>(C2*D2/1000)/H2</f>
        <v>1.5007488157894733</v>
      </c>
      <c r="P2" s="52">
        <f>F2/J2</f>
        <v>9.050207866965142</v>
      </c>
      <c r="Q2" s="52">
        <f>F2/H2</f>
        <v>1.2412280701754383</v>
      </c>
    </row>
    <row r="3" spans="1:17" ht="12">
      <c r="A3" s="25" t="s">
        <v>144</v>
      </c>
      <c r="B3" s="38" t="s">
        <v>143</v>
      </c>
      <c r="C3" s="46">
        <v>77.03</v>
      </c>
      <c r="D3" s="44">
        <v>92</v>
      </c>
      <c r="E3" s="46">
        <f aca="true" t="shared" si="0" ref="E3:E14">C3*D3/1000</f>
        <v>7.08676</v>
      </c>
      <c r="F3" s="49">
        <v>7.95</v>
      </c>
      <c r="G3" s="35">
        <v>0.85</v>
      </c>
      <c r="H3" s="49">
        <v>1.56</v>
      </c>
      <c r="I3" s="118">
        <v>0.0793</v>
      </c>
      <c r="J3" s="49">
        <v>0.3318</v>
      </c>
      <c r="K3" s="46">
        <v>2.11</v>
      </c>
      <c r="L3" s="48">
        <v>0.1433</v>
      </c>
      <c r="M3" s="50">
        <f aca="true" t="shared" si="1" ref="M3:M14">C3/K3</f>
        <v>36.50710900473934</v>
      </c>
      <c r="N3" s="51">
        <f>M3/(L3*100)</f>
        <v>2.547600070114399</v>
      </c>
      <c r="O3" s="51">
        <f aca="true" t="shared" si="2" ref="O3:O14">(C3*D3/1000)/H3</f>
        <v>4.542794871794872</v>
      </c>
      <c r="P3" s="52">
        <f aca="true" t="shared" si="3" ref="P3:P14">F3/J3</f>
        <v>23.960216998191683</v>
      </c>
      <c r="Q3" s="52">
        <f aca="true" t="shared" si="4" ref="Q3:Q14">F3/H3</f>
        <v>5.096153846153846</v>
      </c>
    </row>
    <row r="4" spans="1:17" ht="12">
      <c r="A4" s="25" t="s">
        <v>128</v>
      </c>
      <c r="B4" s="38" t="s">
        <v>130</v>
      </c>
      <c r="C4" s="46">
        <v>46.96</v>
      </c>
      <c r="D4" s="44">
        <v>498.94</v>
      </c>
      <c r="E4" s="46">
        <f t="shared" si="0"/>
        <v>23.430222399999998</v>
      </c>
      <c r="F4" s="49">
        <v>27.01</v>
      </c>
      <c r="G4" s="35">
        <v>0.92</v>
      </c>
      <c r="H4" s="49">
        <v>4.81</v>
      </c>
      <c r="I4" s="118">
        <v>0.0579</v>
      </c>
      <c r="J4" s="49">
        <v>1.39</v>
      </c>
      <c r="K4" s="46">
        <v>1.67</v>
      </c>
      <c r="L4" s="48">
        <v>0.1268</v>
      </c>
      <c r="M4" s="50">
        <f t="shared" si="1"/>
        <v>28.11976047904192</v>
      </c>
      <c r="N4" s="51">
        <f aca="true" t="shared" si="5" ref="N4:N14">M4/(L4*100)</f>
        <v>2.217646725476492</v>
      </c>
      <c r="O4" s="51">
        <f t="shared" si="2"/>
        <v>4.871148108108108</v>
      </c>
      <c r="P4" s="52">
        <f t="shared" si="3"/>
        <v>19.431654676258994</v>
      </c>
      <c r="Q4" s="52">
        <f t="shared" si="4"/>
        <v>5.615384615384616</v>
      </c>
    </row>
    <row r="5" spans="1:17" ht="12">
      <c r="A5" s="25" t="s">
        <v>123</v>
      </c>
      <c r="B5" s="38" t="s">
        <v>132</v>
      </c>
      <c r="C5" s="46">
        <v>13.18</v>
      </c>
      <c r="D5" s="44">
        <v>33.5</v>
      </c>
      <c r="E5" s="46">
        <f t="shared" si="0"/>
        <v>0.44153</v>
      </c>
      <c r="F5" s="49">
        <v>0.42165</v>
      </c>
      <c r="G5" s="35">
        <v>1.16</v>
      </c>
      <c r="H5" s="49">
        <v>0.10244</v>
      </c>
      <c r="I5" s="118">
        <v>0.148</v>
      </c>
      <c r="J5" s="49">
        <v>0.156</v>
      </c>
      <c r="K5" s="46">
        <v>-0.1</v>
      </c>
      <c r="L5" s="48">
        <v>0.25</v>
      </c>
      <c r="M5" s="50">
        <f>C5/K5</f>
        <v>-131.79999999999998</v>
      </c>
      <c r="N5" s="51">
        <f t="shared" si="5"/>
        <v>-5.271999999999999</v>
      </c>
      <c r="O5" s="51">
        <f t="shared" si="2"/>
        <v>4.310132760640374</v>
      </c>
      <c r="P5" s="52">
        <f t="shared" si="3"/>
        <v>2.7028846153846153</v>
      </c>
      <c r="Q5" s="52">
        <f t="shared" si="4"/>
        <v>4.1160679422100745</v>
      </c>
    </row>
    <row r="6" spans="1:17" ht="12">
      <c r="A6" s="25" t="s">
        <v>125</v>
      </c>
      <c r="B6" s="38" t="s">
        <v>133</v>
      </c>
      <c r="C6" s="46">
        <v>7.24</v>
      </c>
      <c r="D6" s="44">
        <v>28.27</v>
      </c>
      <c r="E6" s="46">
        <f t="shared" si="0"/>
        <v>0.20467480000000002</v>
      </c>
      <c r="F6" s="49">
        <v>0.17195</v>
      </c>
      <c r="G6" s="35">
        <v>1.24</v>
      </c>
      <c r="H6" s="49">
        <v>0.13108</v>
      </c>
      <c r="I6" s="118">
        <v>0.1586</v>
      </c>
      <c r="J6" s="49">
        <v>-0.01668</v>
      </c>
      <c r="K6" s="46">
        <v>-0.65</v>
      </c>
      <c r="L6" s="48">
        <v>0.2409</v>
      </c>
      <c r="M6" s="50">
        <f t="shared" si="1"/>
        <v>-11.138461538461538</v>
      </c>
      <c r="N6" s="51">
        <f t="shared" si="5"/>
        <v>-0.4623686815467637</v>
      </c>
      <c r="O6" s="51">
        <f t="shared" si="2"/>
        <v>1.5614494964906929</v>
      </c>
      <c r="P6" s="52">
        <f>F6/J6</f>
        <v>-10.308752997601918</v>
      </c>
      <c r="Q6" s="52">
        <f t="shared" si="4"/>
        <v>1.3117943240768994</v>
      </c>
    </row>
    <row r="7" spans="1:17" ht="12">
      <c r="A7" s="25" t="s">
        <v>124</v>
      </c>
      <c r="B7" s="38" t="s">
        <v>134</v>
      </c>
      <c r="C7" s="46">
        <v>63.59</v>
      </c>
      <c r="D7" s="44">
        <v>264.28</v>
      </c>
      <c r="E7" s="46">
        <f t="shared" si="0"/>
        <v>16.8055652</v>
      </c>
      <c r="F7" s="49">
        <v>15.8</v>
      </c>
      <c r="G7" s="35">
        <v>1.37</v>
      </c>
      <c r="H7" s="49">
        <v>9.5</v>
      </c>
      <c r="I7" s="118">
        <v>0.0735</v>
      </c>
      <c r="J7" s="49">
        <v>1.15</v>
      </c>
      <c r="K7" s="46">
        <v>2.54</v>
      </c>
      <c r="L7" s="48">
        <v>0.1201</v>
      </c>
      <c r="M7" s="50">
        <f t="shared" si="1"/>
        <v>25.035433070866144</v>
      </c>
      <c r="N7" s="51">
        <f t="shared" si="5"/>
        <v>2.084548965101261</v>
      </c>
      <c r="O7" s="51">
        <f t="shared" si="2"/>
        <v>1.7690068631578948</v>
      </c>
      <c r="P7" s="52">
        <f>F7/J7</f>
        <v>13.739130434782611</v>
      </c>
      <c r="Q7" s="52">
        <f t="shared" si="4"/>
        <v>1.6631578947368422</v>
      </c>
    </row>
    <row r="8" spans="1:17" ht="11.25">
      <c r="A8" s="25" t="s">
        <v>166</v>
      </c>
      <c r="B8" s="39"/>
      <c r="C8" s="46">
        <v>43.95</v>
      </c>
      <c r="D8" s="44">
        <v>431.75</v>
      </c>
      <c r="E8" s="46">
        <f t="shared" si="0"/>
        <v>18.9754125</v>
      </c>
      <c r="F8" s="49">
        <v>26.82</v>
      </c>
      <c r="G8" s="35">
        <v>0.38</v>
      </c>
      <c r="H8" s="49">
        <v>15.83</v>
      </c>
      <c r="I8" s="118">
        <v>0.0556</v>
      </c>
      <c r="J8" s="49">
        <v>2.11</v>
      </c>
      <c r="K8" s="46">
        <v>2.24</v>
      </c>
      <c r="L8" s="48">
        <v>0.0804</v>
      </c>
      <c r="M8" s="50">
        <f t="shared" si="1"/>
        <v>19.620535714285715</v>
      </c>
      <c r="N8" s="51">
        <f t="shared" si="5"/>
        <v>2.440365138592751</v>
      </c>
      <c r="O8" s="51">
        <f t="shared" si="2"/>
        <v>1.1986994630448515</v>
      </c>
      <c r="P8" s="52">
        <f>F8/J8</f>
        <v>12.71090047393365</v>
      </c>
      <c r="Q8" s="52">
        <f t="shared" si="4"/>
        <v>1.6942514213518636</v>
      </c>
    </row>
    <row r="9" spans="1:17" ht="11.25">
      <c r="A9" s="25" t="s">
        <v>167</v>
      </c>
      <c r="B9" s="39"/>
      <c r="C9" s="46">
        <v>44</v>
      </c>
      <c r="D9" s="44">
        <v>1610</v>
      </c>
      <c r="E9" s="46">
        <f t="shared" si="0"/>
        <v>70.84</v>
      </c>
      <c r="F9" s="49">
        <v>90.2</v>
      </c>
      <c r="G9" s="35">
        <v>1.46</v>
      </c>
      <c r="H9" s="49">
        <v>32.59</v>
      </c>
      <c r="I9" s="118">
        <v>-0.0325</v>
      </c>
      <c r="J9" s="49">
        <v>5.07</v>
      </c>
      <c r="K9" s="46">
        <v>1.27</v>
      </c>
      <c r="L9" s="118">
        <v>-0.0881</v>
      </c>
      <c r="M9" s="50">
        <f t="shared" si="1"/>
        <v>34.645669291338585</v>
      </c>
      <c r="N9" s="51">
        <f t="shared" si="5"/>
        <v>-3.932539079607104</v>
      </c>
      <c r="O9" s="51">
        <f t="shared" si="2"/>
        <v>2.1736729057993247</v>
      </c>
      <c r="P9" s="52">
        <f>F9/J9</f>
        <v>17.790927021696252</v>
      </c>
      <c r="Q9" s="52">
        <f t="shared" si="4"/>
        <v>2.7677201595581464</v>
      </c>
    </row>
    <row r="10" spans="1:17" ht="11.25">
      <c r="A10" s="25" t="s">
        <v>126</v>
      </c>
      <c r="B10" s="39" t="s">
        <v>135</v>
      </c>
      <c r="C10" s="46">
        <v>46.77</v>
      </c>
      <c r="D10" s="44">
        <v>116.59</v>
      </c>
      <c r="E10" s="46">
        <f t="shared" si="0"/>
        <v>5.452914300000001</v>
      </c>
      <c r="F10" s="49">
        <v>7.75</v>
      </c>
      <c r="G10" s="35">
        <v>0.27</v>
      </c>
      <c r="H10" s="49">
        <v>2.63</v>
      </c>
      <c r="I10" s="118">
        <v>0.0954</v>
      </c>
      <c r="J10" s="49">
        <v>0.4585</v>
      </c>
      <c r="K10" s="46">
        <v>2.21</v>
      </c>
      <c r="L10" s="48">
        <v>0.2333</v>
      </c>
      <c r="M10" s="50">
        <f t="shared" si="1"/>
        <v>21.162895927601813</v>
      </c>
      <c r="N10" s="51">
        <f t="shared" si="5"/>
        <v>0.9071108413031209</v>
      </c>
      <c r="O10" s="51">
        <f t="shared" si="2"/>
        <v>2.0733514448669204</v>
      </c>
      <c r="P10" s="52">
        <f>F10/J10</f>
        <v>16.902944383860415</v>
      </c>
      <c r="Q10" s="52">
        <f t="shared" si="4"/>
        <v>2.946768060836502</v>
      </c>
    </row>
    <row r="11" spans="1:17" ht="11.25">
      <c r="A11" s="25" t="s">
        <v>136</v>
      </c>
      <c r="B11" s="39" t="s">
        <v>137</v>
      </c>
      <c r="C11" s="46">
        <v>76.2</v>
      </c>
      <c r="D11" s="44">
        <v>3132</v>
      </c>
      <c r="E11" s="46">
        <f t="shared" si="0"/>
        <v>238.65840000000003</v>
      </c>
      <c r="F11" s="49">
        <v>261.66</v>
      </c>
      <c r="G11" s="35" t="s">
        <v>146</v>
      </c>
      <c r="H11" s="49">
        <v>89.87</v>
      </c>
      <c r="I11" s="118">
        <v>-0.0097</v>
      </c>
      <c r="J11" s="49">
        <v>17.86</v>
      </c>
      <c r="K11" s="46">
        <v>3.43</v>
      </c>
      <c r="L11" s="48">
        <v>0.0535</v>
      </c>
      <c r="M11" s="50">
        <f t="shared" si="1"/>
        <v>22.215743440233236</v>
      </c>
      <c r="N11" s="51">
        <f t="shared" si="5"/>
        <v>4.15247540938939</v>
      </c>
      <c r="O11" s="51">
        <f t="shared" si="2"/>
        <v>2.65559586068766</v>
      </c>
      <c r="P11" s="52">
        <f t="shared" si="3"/>
        <v>14.650615901455769</v>
      </c>
      <c r="Q11" s="52">
        <f t="shared" si="4"/>
        <v>2.911538889507066</v>
      </c>
    </row>
    <row r="12" spans="1:17" ht="11.25">
      <c r="A12" s="25" t="s">
        <v>127</v>
      </c>
      <c r="B12" s="39" t="s">
        <v>138</v>
      </c>
      <c r="C12" s="46">
        <v>66.29</v>
      </c>
      <c r="D12" s="44">
        <v>900.13</v>
      </c>
      <c r="E12" s="46">
        <f t="shared" si="0"/>
        <v>59.6696177</v>
      </c>
      <c r="F12" s="49">
        <v>65.64</v>
      </c>
      <c r="G12" s="35">
        <v>0.98</v>
      </c>
      <c r="H12" s="49">
        <v>16.74</v>
      </c>
      <c r="I12" s="118">
        <v>0.0242</v>
      </c>
      <c r="J12" s="49">
        <v>4.55</v>
      </c>
      <c r="K12" s="46">
        <v>2.84</v>
      </c>
      <c r="L12" s="48">
        <v>0.0758</v>
      </c>
      <c r="M12" s="50">
        <f t="shared" si="1"/>
        <v>23.34154929577465</v>
      </c>
      <c r="N12" s="51">
        <f t="shared" si="5"/>
        <v>3.0793600654056266</v>
      </c>
      <c r="O12" s="51">
        <f t="shared" si="2"/>
        <v>3.564493291517324</v>
      </c>
      <c r="P12" s="52">
        <f t="shared" si="3"/>
        <v>14.426373626373627</v>
      </c>
      <c r="Q12" s="52">
        <f t="shared" si="4"/>
        <v>3.9211469534050183</v>
      </c>
    </row>
    <row r="13" spans="1:17" ht="11.25">
      <c r="A13" s="25" t="s">
        <v>139</v>
      </c>
      <c r="B13" s="39" t="s">
        <v>141</v>
      </c>
      <c r="C13" s="46">
        <v>46.44</v>
      </c>
      <c r="D13" s="44">
        <v>175.76</v>
      </c>
      <c r="E13" s="46">
        <f t="shared" si="0"/>
        <v>8.162294399999999</v>
      </c>
      <c r="F13" s="49">
        <v>9.73</v>
      </c>
      <c r="G13" s="35">
        <v>1.72</v>
      </c>
      <c r="H13" s="49">
        <v>3.6</v>
      </c>
      <c r="I13" s="118">
        <v>0.1069</v>
      </c>
      <c r="J13" s="49">
        <v>0.41547</v>
      </c>
      <c r="K13" s="46">
        <v>1.16</v>
      </c>
      <c r="L13" s="48">
        <v>0.2031</v>
      </c>
      <c r="M13" s="50">
        <f t="shared" si="1"/>
        <v>40.03448275862069</v>
      </c>
      <c r="N13" s="51">
        <f t="shared" si="5"/>
        <v>1.97117098762288</v>
      </c>
      <c r="O13" s="51">
        <f t="shared" si="2"/>
        <v>2.2673039999999998</v>
      </c>
      <c r="P13" s="52">
        <f t="shared" si="3"/>
        <v>23.419260115050424</v>
      </c>
      <c r="Q13" s="52">
        <f t="shared" si="4"/>
        <v>2.702777777777778</v>
      </c>
    </row>
    <row r="14" spans="1:17" ht="12">
      <c r="A14" s="25" t="s">
        <v>140</v>
      </c>
      <c r="B14" s="38" t="s">
        <v>142</v>
      </c>
      <c r="C14" s="46">
        <v>49.12</v>
      </c>
      <c r="D14" s="44">
        <v>50.09</v>
      </c>
      <c r="E14" s="46">
        <f t="shared" si="0"/>
        <v>2.4604208</v>
      </c>
      <c r="F14" s="49">
        <v>2.84</v>
      </c>
      <c r="G14" s="35">
        <v>1.42</v>
      </c>
      <c r="H14" s="49">
        <v>7.89</v>
      </c>
      <c r="I14" s="118">
        <v>0.1448</v>
      </c>
      <c r="J14" s="49">
        <v>0.28991</v>
      </c>
      <c r="K14" s="46">
        <v>2.86</v>
      </c>
      <c r="L14" s="48">
        <v>0.1231</v>
      </c>
      <c r="M14" s="50">
        <f t="shared" si="1"/>
        <v>17.174825174825173</v>
      </c>
      <c r="N14" s="51">
        <f t="shared" si="5"/>
        <v>1.3951929467770245</v>
      </c>
      <c r="O14" s="51">
        <f t="shared" si="2"/>
        <v>0.31184040557667936</v>
      </c>
      <c r="P14" s="52">
        <f t="shared" si="3"/>
        <v>9.796143630781966</v>
      </c>
      <c r="Q14" s="52">
        <f t="shared" si="4"/>
        <v>0.35994930291508237</v>
      </c>
    </row>
    <row r="15" spans="1:17" ht="11.25">
      <c r="A15" s="25" t="s">
        <v>168</v>
      </c>
      <c r="B15" s="39"/>
      <c r="C15" s="35"/>
      <c r="D15" s="35"/>
      <c r="E15" s="46"/>
      <c r="F15" s="35"/>
      <c r="G15" s="35"/>
      <c r="H15" s="35"/>
      <c r="I15" s="118"/>
      <c r="J15" s="119"/>
      <c r="K15" s="35"/>
      <c r="L15" s="48"/>
      <c r="M15" s="45"/>
      <c r="N15" s="28"/>
      <c r="O15" s="28"/>
      <c r="P15" s="47"/>
      <c r="Q15" s="47"/>
    </row>
    <row r="16" spans="1:17" ht="11.25">
      <c r="A16" s="25" t="s">
        <v>168</v>
      </c>
      <c r="B16" s="39"/>
      <c r="C16" s="35"/>
      <c r="D16" s="35"/>
      <c r="E16" s="46"/>
      <c r="F16" s="35"/>
      <c r="G16" s="35"/>
      <c r="H16" s="35"/>
      <c r="I16" s="118"/>
      <c r="J16" s="119"/>
      <c r="K16" s="35"/>
      <c r="L16" s="48"/>
      <c r="M16" s="45"/>
      <c r="N16" s="28"/>
      <c r="O16" s="28"/>
      <c r="P16" s="47"/>
      <c r="Q16" s="47"/>
    </row>
    <row r="17" spans="1:17" ht="11.25">
      <c r="A17" s="25" t="s">
        <v>168</v>
      </c>
      <c r="B17" s="36"/>
      <c r="C17" s="35"/>
      <c r="D17" s="35"/>
      <c r="E17" s="46"/>
      <c r="F17" s="35"/>
      <c r="G17" s="35"/>
      <c r="H17" s="35"/>
      <c r="I17" s="118"/>
      <c r="J17" s="119"/>
      <c r="K17" s="35"/>
      <c r="L17" s="48"/>
      <c r="M17" s="45"/>
      <c r="N17" s="28"/>
      <c r="O17" s="28"/>
      <c r="P17" s="47"/>
      <c r="Q17" s="47"/>
    </row>
    <row r="18" spans="1:17" s="1" customFormat="1" ht="12" thickBot="1">
      <c r="A18" s="168" t="s">
        <v>183</v>
      </c>
      <c r="B18" s="169"/>
      <c r="C18" s="170"/>
      <c r="D18" s="170"/>
      <c r="E18" s="171"/>
      <c r="F18" s="170"/>
      <c r="G18" s="170"/>
      <c r="H18" s="170"/>
      <c r="I18" s="172"/>
      <c r="J18" s="173"/>
      <c r="K18" s="170"/>
      <c r="L18" s="175">
        <f aca="true" t="shared" si="6" ref="L18:Q18">AVERAGE(L10:L14,L7:L8,L2:L4)</f>
        <v>0.12094000000000002</v>
      </c>
      <c r="M18" s="174">
        <f t="shared" si="6"/>
        <v>25.150581312685823</v>
      </c>
      <c r="N18" s="174">
        <f t="shared" si="6"/>
        <v>2.4454166801956854</v>
      </c>
      <c r="O18" s="174">
        <f t="shared" si="6"/>
        <v>2.4754983124543783</v>
      </c>
      <c r="P18" s="174">
        <f t="shared" si="6"/>
        <v>15.808744810765429</v>
      </c>
      <c r="Q18" s="174">
        <f t="shared" si="6"/>
        <v>2.8152356832244054</v>
      </c>
    </row>
    <row r="19" spans="1:17" s="1" customFormat="1" ht="12" thickTop="1">
      <c r="A19" s="150" t="s">
        <v>121</v>
      </c>
      <c r="B19" s="151"/>
      <c r="C19" s="152">
        <f>AVERAGE(C2:C18)</f>
        <v>45.96923076923077</v>
      </c>
      <c r="D19" s="153">
        <f aca="true" t="shared" si="7" ref="D19:L19">AVERAGE(D2:D18)</f>
        <v>565.6646923076923</v>
      </c>
      <c r="E19" s="152">
        <f t="shared" si="7"/>
        <v>34.80999867923077</v>
      </c>
      <c r="F19" s="154">
        <f t="shared" si="7"/>
        <v>39.71358461538462</v>
      </c>
      <c r="G19" s="153">
        <f t="shared" si="7"/>
        <v>1.0125</v>
      </c>
      <c r="H19" s="154">
        <f t="shared" si="7"/>
        <v>14.26780923076923</v>
      </c>
      <c r="I19" s="155">
        <f t="shared" si="7"/>
        <v>0.0688</v>
      </c>
      <c r="J19" s="154">
        <f t="shared" si="7"/>
        <v>2.5997130769230767</v>
      </c>
      <c r="K19" s="152">
        <f t="shared" si="7"/>
        <v>1.7307692307692308</v>
      </c>
      <c r="L19" s="155">
        <f t="shared" si="7"/>
        <v>0.12379571428571431</v>
      </c>
      <c r="M19" s="156">
        <f>AVERAGE(M2:M14)</f>
        <v>11.016386221518102</v>
      </c>
      <c r="N19" s="156">
        <f>AVERAGE(N2:N14)</f>
        <v>1.1374814646771532</v>
      </c>
      <c r="O19" s="156">
        <f>AVERAGE(O2:O14)</f>
        <v>2.5230952528826287</v>
      </c>
      <c r="P19" s="156">
        <f>AVERAGE(P2:P14)</f>
        <v>12.944038980548708</v>
      </c>
      <c r="Q19" s="156">
        <f>AVERAGE(Q2:Q14)</f>
        <v>2.7959953275453207</v>
      </c>
    </row>
    <row r="27" spans="11:12" ht="11.25">
      <c r="K27" s="43"/>
      <c r="L27" s="43"/>
    </row>
  </sheetData>
  <sheetProtection/>
  <printOptions/>
  <pageMargins left="0.75" right="0.75" top="1" bottom="1" header="0.5" footer="0.5"/>
  <pageSetup fitToWidth="2" fitToHeight="1" horizontalDpi="600" verticalDpi="600" orientation="portrait" scale="5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Stern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Chris Sullivan</cp:lastModifiedBy>
  <cp:lastPrinted>2015-08-21T02:55:03Z</cp:lastPrinted>
  <dcterms:created xsi:type="dcterms:W3CDTF">2000-02-22T13:53:50Z</dcterms:created>
  <dcterms:modified xsi:type="dcterms:W3CDTF">2016-07-05T15:29:18Z</dcterms:modified>
  <cp:category/>
  <cp:version/>
  <cp:contentType/>
  <cp:contentStatus/>
</cp:coreProperties>
</file>