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Student ver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Alex Karlen-Ng</author>
    <author>Windows User</author>
    <author>alex</author>
  </authors>
  <commentList>
    <comment ref="N10" authorId="0">
      <text>
        <r>
          <rPr>
            <b/>
            <sz val="8"/>
            <rFont val="Tahoma"/>
            <family val="2"/>
          </rPr>
          <t>Alex Karlen-Ng:</t>
        </r>
        <r>
          <rPr>
            <sz val="8"/>
            <rFont val="Tahoma"/>
            <family val="2"/>
          </rPr>
          <t xml:space="preserve">
This red corner symbol shows hints for using Excel that you should try.</t>
        </r>
      </text>
    </comment>
    <comment ref="G2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Use dividend growth formula: Re = D1/P0 + g
</t>
        </r>
      </text>
    </comment>
    <comment ref="G2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D0 is the most recent dividend paid.
</t>
        </r>
      </text>
    </comment>
    <comment ref="G3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this is the SML formula
</t>
        </r>
      </text>
    </comment>
    <comment ref="F3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LINEST will give you Beta.  You just need to tell Excel which are the x and y values.</t>
        </r>
      </text>
    </comment>
    <comment ref="C4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MRP = average Canada Index return - risk free rate</t>
        </r>
      </text>
    </comment>
    <comment ref="C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Input the SML formula here</t>
        </r>
      </text>
    </comment>
    <comment ref="F4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since both methods give you a valid Re, then take the average of them</t>
        </r>
      </text>
    </comment>
    <comment ref="H5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use the preferred yield formula = D /P0</t>
        </r>
      </text>
    </comment>
    <comment ref="B7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sum up all equity = shares plus retained earnings</t>
        </r>
      </text>
    </comment>
    <comment ref="B7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total all sources of capital </t>
        </r>
      </text>
    </comment>
    <comment ref="B76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calculate your capital weights by dividing by V</t>
        </r>
      </text>
    </comment>
    <comment ref="B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Use the WACC formula</t>
        </r>
      </text>
    </comment>
    <comment ref="C9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to calculate expected CF, you multiply probability, P x the CF and sum them up.</t>
        </r>
      </text>
    </comment>
    <comment ref="C94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calculate by multiplying CF x PVIFA</t>
        </r>
      </text>
    </comment>
    <comment ref="G8" authorId="2">
      <text>
        <r>
          <rPr>
            <b/>
            <sz val="9"/>
            <rFont val="Tahoma"/>
            <family val="2"/>
          </rPr>
          <t>alex:</t>
        </r>
        <r>
          <rPr>
            <sz val="9"/>
            <rFont val="Tahoma"/>
            <family val="2"/>
          </rPr>
          <t xml:space="preserve">
difference between total returns (F) - closing price returns € = dividend returns</t>
        </r>
      </text>
    </comment>
  </commentList>
</comments>
</file>

<file path=xl/sharedStrings.xml><?xml version="1.0" encoding="utf-8"?>
<sst xmlns="http://schemas.openxmlformats.org/spreadsheetml/2006/main" count="106" uniqueCount="90">
  <si>
    <t>Canada</t>
  </si>
  <si>
    <t>Dividend</t>
  </si>
  <si>
    <t>Average</t>
  </si>
  <si>
    <t>Re</t>
  </si>
  <si>
    <t>D(1)</t>
  </si>
  <si>
    <t>P-Close</t>
  </si>
  <si>
    <t>% Return</t>
  </si>
  <si>
    <t>Dividends</t>
  </si>
  <si>
    <t>% Returns</t>
  </si>
  <si>
    <t xml:space="preserve">P(0) </t>
  </si>
  <si>
    <t>Using Average Dividend Return</t>
  </si>
  <si>
    <t>Dividend Growth Model Approach</t>
  </si>
  <si>
    <t xml:space="preserve">SML Approach </t>
  </si>
  <si>
    <t>Risk-Free</t>
  </si>
  <si>
    <t>1-year</t>
  </si>
  <si>
    <t>Canada Index</t>
  </si>
  <si>
    <t>Beta</t>
  </si>
  <si>
    <t>Market Risk Premium</t>
  </si>
  <si>
    <t>Average Re</t>
  </si>
  <si>
    <t>Cost of Equity</t>
  </si>
  <si>
    <t>Cost of Debt</t>
  </si>
  <si>
    <t>Long-Term Debt</t>
  </si>
  <si>
    <t>Bonds</t>
  </si>
  <si>
    <t>Preferred</t>
  </si>
  <si>
    <t>Shares</t>
  </si>
  <si>
    <t>Cost of Preferred Stock</t>
  </si>
  <si>
    <t>Per Share*</t>
  </si>
  <si>
    <t>* Common Stock</t>
  </si>
  <si>
    <t>Telus Bonds</t>
  </si>
  <si>
    <t>Coupon Rate</t>
  </si>
  <si>
    <t>Average Maturity</t>
  </si>
  <si>
    <t>Prime Bank Rate</t>
  </si>
  <si>
    <t>Bond Price (% of Par)</t>
  </si>
  <si>
    <t>Yield to Maturity</t>
  </si>
  <si>
    <t>WACC</t>
  </si>
  <si>
    <t>Equity</t>
  </si>
  <si>
    <t>E</t>
  </si>
  <si>
    <t>Retained</t>
  </si>
  <si>
    <t>Earnings</t>
  </si>
  <si>
    <t>D</t>
  </si>
  <si>
    <t>Weights</t>
  </si>
  <si>
    <t>E/V</t>
  </si>
  <si>
    <t>D/V</t>
  </si>
  <si>
    <t>Tax Rate</t>
  </si>
  <si>
    <t>Preferred Shares</t>
  </si>
  <si>
    <t>P</t>
  </si>
  <si>
    <t>V(E+P+D)</t>
  </si>
  <si>
    <t>P/V</t>
  </si>
  <si>
    <t>Project Cost = 150 million</t>
  </si>
  <si>
    <t>PVIF</t>
  </si>
  <si>
    <t>After tax Cash Flows = $25 million per year, 14 years</t>
  </si>
  <si>
    <t>Cash Flow</t>
  </si>
  <si>
    <t>Years</t>
  </si>
  <si>
    <t>NPV</t>
  </si>
  <si>
    <t>PVIFA</t>
  </si>
  <si>
    <t>Preferred Share Dividends</t>
  </si>
  <si>
    <t>% Change</t>
  </si>
  <si>
    <t>Total Return</t>
  </si>
  <si>
    <t>This looks like another stage for this case, you would need to pose this as a ??</t>
  </si>
  <si>
    <t>Total Cashflows</t>
  </si>
  <si>
    <t>present value of 7 years of cashflows</t>
  </si>
  <si>
    <t>IRR</t>
  </si>
  <si>
    <t>Year</t>
  </si>
  <si>
    <t>CF</t>
  </si>
  <si>
    <t>Now you have the WACC which tells you how much 165$million costs you, what is the NPV?</t>
  </si>
  <si>
    <t>assume $$ already exists</t>
  </si>
  <si>
    <t>Outlay</t>
  </si>
  <si>
    <t>Float Bond (including flotation cost) = 1.04*150 = $156 million</t>
  </si>
  <si>
    <t>this is an expected Cash Flow Calc. 0.5*29 + 0.5*31.5</t>
  </si>
  <si>
    <t xml:space="preserve">You are calculating current dividend </t>
  </si>
  <si>
    <t>run regression on Excel, Canada Index Returns as X vs. Telus Total Returns as Y.</t>
  </si>
  <si>
    <t>*assuming we treat the common shares as same as preferred shares paying dividends</t>
  </si>
  <si>
    <t>Total Equity</t>
  </si>
  <si>
    <t>Alex Ng</t>
  </si>
  <si>
    <t>Color Key</t>
  </si>
  <si>
    <t>Input data</t>
  </si>
  <si>
    <t>Formula Calculation</t>
  </si>
  <si>
    <t>Telus Close</t>
  </si>
  <si>
    <t>Re = Rf + B (Rm - Rf)</t>
  </si>
  <si>
    <t>It is called LINEST function</t>
  </si>
  <si>
    <t>Cost of Preferred</t>
  </si>
  <si>
    <t>This is your required rate of return or discount rate</t>
  </si>
  <si>
    <t>expected CF result</t>
  </si>
  <si>
    <t>Is this a good project wrt NPV rule?</t>
  </si>
  <si>
    <t>Is this a good project wrt IRR rule?</t>
  </si>
  <si>
    <t xml:space="preserve"> </t>
  </si>
  <si>
    <t>Capital Budget Investment</t>
  </si>
  <si>
    <t>Telarus Case on the Cost of Capital</t>
  </si>
  <si>
    <t>using YTM formula = coupon + (Face - Price)/maturity divided by (Face + Price)/2</t>
  </si>
  <si>
    <t>5-year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</si>
</sst>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%"/>
    <numFmt numFmtId="196" formatCode="0.000"/>
    <numFmt numFmtId="197" formatCode="0.000_ "/>
    <numFmt numFmtId="198" formatCode="0.0000000000000000_ "/>
    <numFmt numFmtId="199" formatCode="0.00000000000000000_ "/>
    <numFmt numFmtId="200" formatCode="0.000000000000000000_ "/>
    <numFmt numFmtId="201" formatCode="0.0000000000000000000_ "/>
    <numFmt numFmtId="202" formatCode="0.00000000000000000000_ "/>
    <numFmt numFmtId="203" formatCode="0.000000000000000000000_ "/>
    <numFmt numFmtId="204" formatCode="0.0000000000000000000000_ "/>
    <numFmt numFmtId="205" formatCode="0.00_);[Red]\(0.00\)"/>
    <numFmt numFmtId="206" formatCode="0.000_);[Red]\(0.000\)"/>
  </numFmts>
  <fonts count="56"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20"/>
      <name val="Arial"/>
      <family val="2"/>
    </font>
    <font>
      <b/>
      <u val="single"/>
      <sz val="10"/>
      <color indexed="61"/>
      <name val="Arial"/>
      <family val="2"/>
    </font>
    <font>
      <b/>
      <i/>
      <sz val="10"/>
      <color indexed="6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color indexed="36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196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35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7" fillId="0" borderId="0" xfId="0" applyFont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8" fillId="0" borderId="0" xfId="0" applyFont="1" applyAlignment="1">
      <alignment/>
    </xf>
    <xf numFmtId="196" fontId="0" fillId="36" borderId="0" xfId="0" applyNumberFormat="1" applyFill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206" fontId="0" fillId="33" borderId="0" xfId="0" applyNumberFormat="1" applyFill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PageLayoutView="0" workbookViewId="0" topLeftCell="A81">
      <selection activeCell="C98" sqref="C98"/>
    </sheetView>
  </sheetViews>
  <sheetFormatPr defaultColWidth="9.140625" defaultRowHeight="12.75"/>
  <cols>
    <col min="1" max="1" width="12.421875" style="0" customWidth="1"/>
    <col min="2" max="2" width="13.8515625" style="0" customWidth="1"/>
    <col min="3" max="3" width="9.28125" style="0" customWidth="1"/>
    <col min="4" max="4" width="14.8515625" style="0" customWidth="1"/>
    <col min="5" max="5" width="8.8515625" style="0" customWidth="1"/>
    <col min="6" max="6" width="13.8515625" style="0" customWidth="1"/>
    <col min="7" max="7" width="13.57421875" style="0" customWidth="1"/>
    <col min="8" max="8" width="9.7109375" style="0" bestFit="1" customWidth="1"/>
    <col min="10" max="10" width="23.00390625" style="0" customWidth="1"/>
  </cols>
  <sheetData>
    <row r="1" spans="1:8" ht="15.75">
      <c r="A1" s="9" t="s">
        <v>85</v>
      </c>
      <c r="H1" s="9" t="s">
        <v>73</v>
      </c>
    </row>
    <row r="2" spans="1:8" ht="15.75">
      <c r="A2" s="9"/>
      <c r="H2" s="9"/>
    </row>
    <row r="3" spans="1:8" ht="15.75">
      <c r="A3" s="9"/>
      <c r="H3" s="9"/>
    </row>
    <row r="4" spans="1:8" ht="15.75">
      <c r="A4" s="9"/>
      <c r="H4" s="9"/>
    </row>
    <row r="5" spans="1:8" ht="20.25">
      <c r="A5" s="9"/>
      <c r="C5" s="37" t="s">
        <v>87</v>
      </c>
      <c r="D5" s="38"/>
      <c r="E5" s="38"/>
      <c r="F5" s="38"/>
      <c r="G5" s="32"/>
      <c r="H5" s="9"/>
    </row>
    <row r="7" spans="5:6" ht="12.75">
      <c r="E7" s="8"/>
      <c r="F7" s="8" t="s">
        <v>57</v>
      </c>
    </row>
    <row r="8" spans="3:9" ht="12.75">
      <c r="C8" s="8" t="s">
        <v>0</v>
      </c>
      <c r="D8" s="8" t="s">
        <v>44</v>
      </c>
      <c r="E8" s="8" t="s">
        <v>5</v>
      </c>
      <c r="F8" s="8" t="s">
        <v>77</v>
      </c>
      <c r="G8" s="8" t="s">
        <v>7</v>
      </c>
      <c r="H8" s="8" t="s">
        <v>1</v>
      </c>
      <c r="I8" s="8" t="s">
        <v>56</v>
      </c>
    </row>
    <row r="9" spans="2:9" ht="13.5" thickBot="1">
      <c r="B9" s="8" t="s">
        <v>15</v>
      </c>
      <c r="C9" s="8" t="s">
        <v>6</v>
      </c>
      <c r="D9" s="8" t="s">
        <v>5</v>
      </c>
      <c r="E9" s="8" t="s">
        <v>6</v>
      </c>
      <c r="F9" s="8" t="s">
        <v>6</v>
      </c>
      <c r="G9" s="8" t="s">
        <v>8</v>
      </c>
      <c r="H9" s="8" t="s">
        <v>26</v>
      </c>
      <c r="I9" s="8" t="s">
        <v>7</v>
      </c>
    </row>
    <row r="10" spans="1:14" ht="12.75">
      <c r="A10">
        <v>2003</v>
      </c>
      <c r="B10">
        <v>3969.8</v>
      </c>
      <c r="D10">
        <v>18</v>
      </c>
      <c r="L10" s="18" t="s">
        <v>74</v>
      </c>
      <c r="M10" s="19" t="s">
        <v>75</v>
      </c>
      <c r="N10" s="20"/>
    </row>
    <row r="11" spans="1:14" ht="13.5" thickBot="1">
      <c r="A11">
        <f>A10+1</f>
        <v>2004</v>
      </c>
      <c r="B11">
        <v>3256.8</v>
      </c>
      <c r="C11" s="24">
        <f>(B11-B10)/B10</f>
        <v>-0.17960602549246812</v>
      </c>
      <c r="D11" s="1">
        <v>19.25</v>
      </c>
      <c r="E11" s="24">
        <f>(D11-D10)/D10</f>
        <v>0.06944444444444445</v>
      </c>
      <c r="F11" s="40">
        <v>0.1261</v>
      </c>
      <c r="G11" s="24">
        <f>F11-E11</f>
        <v>0.05665555555555554</v>
      </c>
      <c r="H11" s="1">
        <v>1.02</v>
      </c>
      <c r="I11" s="24"/>
      <c r="L11" s="21"/>
      <c r="M11" s="22" t="s">
        <v>76</v>
      </c>
      <c r="N11" s="23"/>
    </row>
    <row r="12" spans="1:9" ht="12.75">
      <c r="A12">
        <f aca="true" t="shared" si="0" ref="A12:A21">A11+1</f>
        <v>2005</v>
      </c>
      <c r="B12">
        <v>3512.4</v>
      </c>
      <c r="C12" s="24">
        <f>(B12-B11)/B11</f>
        <v>0.07848194546794396</v>
      </c>
      <c r="D12" s="1">
        <v>22.88</v>
      </c>
      <c r="E12" s="24">
        <f aca="true" t="shared" si="1" ref="E12:E21">(D12-D11)/D11</f>
        <v>0.18857142857142853</v>
      </c>
      <c r="F12" s="40">
        <v>0.2547</v>
      </c>
      <c r="G12" s="24">
        <f>F12-E12</f>
        <v>0.06612857142857145</v>
      </c>
      <c r="H12" s="1">
        <v>1.1</v>
      </c>
      <c r="I12" s="24">
        <f>(H12-H11)/H11</f>
        <v>0.07843137254901968</v>
      </c>
    </row>
    <row r="13" spans="1:9" ht="12.75">
      <c r="A13">
        <f t="shared" si="0"/>
        <v>2006</v>
      </c>
      <c r="B13">
        <v>3350.4</v>
      </c>
      <c r="C13" s="24">
        <f aca="true" t="shared" si="2" ref="C12:C21">(B13-B12)/B12</f>
        <v>-0.04612230953194397</v>
      </c>
      <c r="D13" s="1">
        <v>19.63</v>
      </c>
      <c r="E13" s="24">
        <f t="shared" si="1"/>
        <v>-0.14204545454545456</v>
      </c>
      <c r="F13" s="40">
        <v>-0.0918</v>
      </c>
      <c r="G13" s="24">
        <f aca="true" t="shared" si="3" ref="G13:G21">F13-E13</f>
        <v>0.05024545454545455</v>
      </c>
      <c r="H13" s="1">
        <v>1.15</v>
      </c>
      <c r="I13" s="24">
        <f aca="true" t="shared" si="4" ref="I13:I21">(H13-H12)/H12</f>
        <v>0.04545454545454529</v>
      </c>
    </row>
    <row r="14" spans="1:9" ht="12.75">
      <c r="A14">
        <f t="shared" si="0"/>
        <v>2007</v>
      </c>
      <c r="B14">
        <v>4321.4</v>
      </c>
      <c r="C14" s="24">
        <f t="shared" si="2"/>
        <v>0.28981614135625583</v>
      </c>
      <c r="D14" s="1">
        <v>25.38</v>
      </c>
      <c r="E14" s="24">
        <f t="shared" si="1"/>
        <v>0.29291900152827305</v>
      </c>
      <c r="F14" s="40">
        <v>0.3535</v>
      </c>
      <c r="G14" s="24">
        <f t="shared" si="3"/>
        <v>0.06058099847172693</v>
      </c>
      <c r="H14" s="1">
        <v>1.19</v>
      </c>
      <c r="I14" s="24">
        <f t="shared" si="4"/>
        <v>0.03478260869565221</v>
      </c>
    </row>
    <row r="15" spans="1:9" ht="12.75">
      <c r="A15">
        <f t="shared" si="0"/>
        <v>2008</v>
      </c>
      <c r="B15">
        <v>4213.6</v>
      </c>
      <c r="C15" s="24">
        <f t="shared" si="2"/>
        <v>-0.024945619475169916</v>
      </c>
      <c r="D15" s="1">
        <v>24</v>
      </c>
      <c r="E15" s="24">
        <f t="shared" si="1"/>
        <v>-0.0543735224586288</v>
      </c>
      <c r="F15" s="40">
        <v>-0.0059</v>
      </c>
      <c r="G15" s="24">
        <f t="shared" si="3"/>
        <v>0.0484735224586288</v>
      </c>
      <c r="H15" s="1">
        <v>1.23</v>
      </c>
      <c r="I15" s="24">
        <f t="shared" si="4"/>
        <v>0.033613445378151294</v>
      </c>
    </row>
    <row r="16" spans="1:9" ht="12.75">
      <c r="A16">
        <f t="shared" si="0"/>
        <v>2009</v>
      </c>
      <c r="B16">
        <v>4713.5</v>
      </c>
      <c r="C16" s="24">
        <f t="shared" si="2"/>
        <v>0.1186396430605657</v>
      </c>
      <c r="D16" s="1">
        <v>25</v>
      </c>
      <c r="E16" s="24">
        <f t="shared" si="1"/>
        <v>0.041666666666666664</v>
      </c>
      <c r="F16" s="40">
        <v>0.0946</v>
      </c>
      <c r="G16" s="24">
        <f t="shared" si="3"/>
        <v>0.05293333333333334</v>
      </c>
      <c r="H16" s="1">
        <v>1.27</v>
      </c>
      <c r="I16" s="24">
        <f t="shared" si="4"/>
        <v>0.032520325203252064</v>
      </c>
    </row>
    <row r="17" spans="1:9" ht="12.75">
      <c r="A17">
        <f t="shared" si="0"/>
        <v>2010</v>
      </c>
      <c r="B17">
        <v>5927.03</v>
      </c>
      <c r="C17" s="24">
        <f t="shared" si="2"/>
        <v>0.2574583642728333</v>
      </c>
      <c r="D17" s="1">
        <v>29.65</v>
      </c>
      <c r="E17" s="24">
        <f t="shared" si="1"/>
        <v>0.18599999999999994</v>
      </c>
      <c r="F17" s="40">
        <v>0.2384</v>
      </c>
      <c r="G17" s="24">
        <f t="shared" si="3"/>
        <v>0.05240000000000006</v>
      </c>
      <c r="H17" s="1">
        <v>1.31</v>
      </c>
      <c r="I17" s="24">
        <f t="shared" si="4"/>
        <v>0.03149606299212601</v>
      </c>
    </row>
    <row r="18" spans="1:9" ht="12.75">
      <c r="A18">
        <f t="shared" si="0"/>
        <v>2011</v>
      </c>
      <c r="B18">
        <v>6699.44</v>
      </c>
      <c r="C18" s="24">
        <f t="shared" si="2"/>
        <v>0.13031990727227633</v>
      </c>
      <c r="D18" s="1">
        <v>44.5</v>
      </c>
      <c r="E18" s="24">
        <f t="shared" si="1"/>
        <v>0.5008431703204048</v>
      </c>
      <c r="F18" s="40">
        <v>0.5464</v>
      </c>
      <c r="G18" s="24">
        <f t="shared" si="3"/>
        <v>0.04555682967959518</v>
      </c>
      <c r="H18" s="1">
        <v>1.35</v>
      </c>
      <c r="I18" s="24">
        <f t="shared" si="4"/>
        <v>0.030534351145038195</v>
      </c>
    </row>
    <row r="19" spans="1:17" ht="12.75">
      <c r="A19">
        <f t="shared" si="0"/>
        <v>2012</v>
      </c>
      <c r="B19">
        <v>6485.94</v>
      </c>
      <c r="C19" s="24">
        <f t="shared" si="2"/>
        <v>-0.03186833526384295</v>
      </c>
      <c r="D19" s="1">
        <v>41.95</v>
      </c>
      <c r="E19" s="24">
        <f t="shared" si="1"/>
        <v>-0.05730337078651679</v>
      </c>
      <c r="F19" s="40">
        <v>-0.0258</v>
      </c>
      <c r="G19" s="24">
        <f t="shared" si="3"/>
        <v>0.031503370786516785</v>
      </c>
      <c r="H19" s="1">
        <v>1.4</v>
      </c>
      <c r="I19" s="24">
        <f t="shared" si="4"/>
        <v>0.0370370370370369</v>
      </c>
      <c r="P19" s="1"/>
      <c r="Q19" s="1"/>
    </row>
    <row r="20" spans="1:17" ht="12.75">
      <c r="A20">
        <f t="shared" si="0"/>
        <v>2013</v>
      </c>
      <c r="B20">
        <v>8413.75</v>
      </c>
      <c r="C20" s="24">
        <f t="shared" si="2"/>
        <v>0.29722908321692776</v>
      </c>
      <c r="D20" s="1">
        <v>35.15</v>
      </c>
      <c r="E20" s="24">
        <f t="shared" si="1"/>
        <v>-0.16209773539928496</v>
      </c>
      <c r="F20" s="40">
        <v>-0.1287</v>
      </c>
      <c r="G20" s="24">
        <f t="shared" si="3"/>
        <v>0.03339773539928495</v>
      </c>
      <c r="H20" s="1">
        <v>1.4</v>
      </c>
      <c r="I20" s="24">
        <f t="shared" si="4"/>
        <v>0</v>
      </c>
      <c r="P20" s="1"/>
      <c r="Q20" s="1"/>
    </row>
    <row r="21" spans="1:17" ht="12.75">
      <c r="A21">
        <f t="shared" si="0"/>
        <v>2014</v>
      </c>
      <c r="B21">
        <v>8933.68</v>
      </c>
      <c r="C21" s="24">
        <f t="shared" si="2"/>
        <v>0.061795275590551216</v>
      </c>
      <c r="D21" s="1">
        <v>41.55</v>
      </c>
      <c r="E21" s="24">
        <f t="shared" si="1"/>
        <v>0.18207681365576098</v>
      </c>
      <c r="F21" s="40">
        <v>0.2219</v>
      </c>
      <c r="G21" s="24">
        <f t="shared" si="3"/>
        <v>0.03982318634423901</v>
      </c>
      <c r="H21" s="1">
        <v>1.4</v>
      </c>
      <c r="I21" s="24">
        <f t="shared" si="4"/>
        <v>0</v>
      </c>
      <c r="P21" s="1"/>
      <c r="Q21" s="1"/>
    </row>
    <row r="22" spans="2:17" ht="12.75">
      <c r="B22" s="17" t="s">
        <v>2</v>
      </c>
      <c r="C22" s="24">
        <f>AVERAGE(C11:C21)</f>
        <v>0.08647255186126629</v>
      </c>
      <c r="D22" s="24">
        <f>AVERAGE(D11:D21)</f>
        <v>29.903636363636362</v>
      </c>
      <c r="E22" s="24">
        <f>AVERAGE(E11:E21)</f>
        <v>0.09506376745428122</v>
      </c>
      <c r="F22" s="24">
        <f>AVERAGE(F11:F21)</f>
        <v>0.14394545454545454</v>
      </c>
      <c r="G22" s="24">
        <f>AVERAGE(G11:G21)</f>
        <v>0.048881687091173326</v>
      </c>
      <c r="H22" s="24">
        <f>AVERAGE(H11:H21)</f>
        <v>1.2563636363636363</v>
      </c>
      <c r="I22" s="24">
        <f>AVERAGE(I12:I21)</f>
        <v>0.03238697484548217</v>
      </c>
      <c r="J22" s="1"/>
      <c r="P22" s="1"/>
      <c r="Q22" s="1"/>
    </row>
    <row r="23" s="1" customFormat="1" ht="12.75"/>
    <row r="24" spans="1:17" ht="19.5" thickBot="1">
      <c r="A24" s="35" t="s">
        <v>19</v>
      </c>
      <c r="B24" s="32"/>
      <c r="D24" s="11" t="s">
        <v>11</v>
      </c>
      <c r="P24" s="1"/>
      <c r="Q24" s="1"/>
    </row>
    <row r="25" spans="5:17" ht="12.75">
      <c r="E25" t="s">
        <v>9</v>
      </c>
      <c r="F25" s="19">
        <f>D21</f>
        <v>41.55</v>
      </c>
      <c r="P25" s="1"/>
      <c r="Q25" s="1"/>
    </row>
    <row r="26" spans="5:10" ht="12.75">
      <c r="E26" t="s">
        <v>4</v>
      </c>
      <c r="F26" s="17">
        <f>H21*(1+I22)</f>
        <v>1.4453417647836748</v>
      </c>
      <c r="J26" t="s">
        <v>27</v>
      </c>
    </row>
    <row r="27" spans="5:10" ht="12.75">
      <c r="E27" t="s">
        <v>3</v>
      </c>
      <c r="F27" s="24">
        <f>F26/F25+I22</f>
        <v>0.06717257688600384</v>
      </c>
      <c r="J27" t="s">
        <v>10</v>
      </c>
    </row>
    <row r="28" ht="63.75">
      <c r="J28" s="13" t="s">
        <v>71</v>
      </c>
    </row>
    <row r="29" ht="12.75">
      <c r="L29" s="1"/>
    </row>
    <row r="30" spans="4:12" ht="12.75">
      <c r="D30" s="11" t="s">
        <v>12</v>
      </c>
      <c r="L30" s="1"/>
    </row>
    <row r="31" ht="12.75">
      <c r="F31" t="s">
        <v>78</v>
      </c>
    </row>
    <row r="33" spans="4:10" ht="12.75">
      <c r="D33" s="12" t="s">
        <v>70</v>
      </c>
      <c r="J33" s="31"/>
    </row>
    <row r="34" spans="2:8" ht="12.75">
      <c r="B34" s="41"/>
      <c r="C34" s="41"/>
      <c r="D34" s="12" t="s">
        <v>79</v>
      </c>
      <c r="G34" s="43"/>
      <c r="H34" s="43"/>
    </row>
    <row r="35" spans="2:8" ht="12.75">
      <c r="B35" s="2"/>
      <c r="C35" s="2"/>
      <c r="G35" s="43"/>
      <c r="H35" s="43"/>
    </row>
    <row r="36" spans="2:8" ht="12.75">
      <c r="B36" s="2"/>
      <c r="C36" s="2"/>
      <c r="E36" s="17">
        <f>LINEST(F11:F21,C11:C21)</f>
        <v>0.37416188607077716</v>
      </c>
      <c r="F36" s="31" t="s">
        <v>16</v>
      </c>
      <c r="G36" s="42"/>
      <c r="H36" s="42"/>
    </row>
    <row r="37" spans="2:8" ht="12.75">
      <c r="B37" s="2"/>
      <c r="C37" s="2"/>
      <c r="D37" s="2"/>
      <c r="E37" s="2"/>
      <c r="F37" s="2"/>
      <c r="G37" s="2"/>
      <c r="H37" s="2"/>
    </row>
    <row r="38" spans="2:8" ht="12.75">
      <c r="B38" s="2"/>
      <c r="C38" s="2"/>
      <c r="D38" s="2"/>
      <c r="E38" s="2"/>
      <c r="F38" s="2"/>
      <c r="G38" s="2"/>
      <c r="H38" s="2"/>
    </row>
    <row r="39" spans="2:8" ht="12.75">
      <c r="B39" s="2"/>
      <c r="C39" s="2"/>
      <c r="D39" s="43"/>
      <c r="E39" s="43"/>
      <c r="F39" s="43"/>
      <c r="G39" s="43"/>
      <c r="H39" s="43"/>
    </row>
    <row r="41" spans="2:3" ht="12.75">
      <c r="B41" t="s">
        <v>13</v>
      </c>
      <c r="C41" t="s">
        <v>6</v>
      </c>
    </row>
    <row r="42" spans="2:3" ht="12.75">
      <c r="B42" t="s">
        <v>14</v>
      </c>
      <c r="C42" s="30">
        <v>0.0275</v>
      </c>
    </row>
    <row r="43" spans="2:3" ht="12.75">
      <c r="B43" s="44" t="s">
        <v>89</v>
      </c>
      <c r="C43" s="28">
        <v>0.045</v>
      </c>
    </row>
    <row r="44" spans="1:3" ht="12.75">
      <c r="A44" t="s">
        <v>17</v>
      </c>
      <c r="C44" s="45">
        <f>C22-C42</f>
        <v>0.05897255186126629</v>
      </c>
    </row>
    <row r="45" spans="2:8" ht="12.75">
      <c r="B45" t="s">
        <v>3</v>
      </c>
      <c r="C45" s="17">
        <f>C42+E36*C44</f>
        <v>0.04956528123081812</v>
      </c>
      <c r="E45" s="27" t="s">
        <v>18</v>
      </c>
      <c r="F45" s="24">
        <f>AVERAGE(C45,F27)</f>
        <v>0.05836892905841098</v>
      </c>
      <c r="G45" s="31" t="s">
        <v>19</v>
      </c>
      <c r="H45" s="3"/>
    </row>
    <row r="49" spans="1:6" ht="18.75">
      <c r="A49" s="34" t="s">
        <v>20</v>
      </c>
      <c r="B49" s="32"/>
      <c r="E49" s="34" t="s">
        <v>80</v>
      </c>
      <c r="F49" s="32"/>
    </row>
    <row r="51" spans="1:9" ht="12.75">
      <c r="A51" t="s">
        <v>21</v>
      </c>
      <c r="I51" s="10" t="s">
        <v>69</v>
      </c>
    </row>
    <row r="52" spans="1:9" ht="12.75">
      <c r="A52" t="s">
        <v>22</v>
      </c>
      <c r="B52" s="14">
        <v>3328000000</v>
      </c>
      <c r="C52" t="s">
        <v>39</v>
      </c>
      <c r="E52" t="s">
        <v>55</v>
      </c>
      <c r="H52">
        <f>H21</f>
        <v>1.4</v>
      </c>
      <c r="I52" s="7"/>
    </row>
    <row r="53" spans="1:8" ht="12.75">
      <c r="A53" t="s">
        <v>23</v>
      </c>
      <c r="E53" s="39" t="s">
        <v>25</v>
      </c>
      <c r="H53" s="17">
        <f>H21/D21</f>
        <v>0.03369434416365824</v>
      </c>
    </row>
    <row r="54" spans="1:3" ht="12.75">
      <c r="A54" t="s">
        <v>24</v>
      </c>
      <c r="B54" s="1">
        <v>70000000</v>
      </c>
      <c r="C54" t="s">
        <v>45</v>
      </c>
    </row>
    <row r="55" ht="12.75">
      <c r="B55" s="14"/>
    </row>
    <row r="58" ht="12.75">
      <c r="A58" t="s">
        <v>28</v>
      </c>
    </row>
    <row r="59" spans="1:3" ht="12.75">
      <c r="A59" t="s">
        <v>29</v>
      </c>
      <c r="C59" s="28">
        <v>0.11</v>
      </c>
    </row>
    <row r="60" spans="1:3" ht="12.75">
      <c r="A60" t="s">
        <v>30</v>
      </c>
      <c r="C60" s="28">
        <v>15</v>
      </c>
    </row>
    <row r="61" spans="1:3" ht="12.75">
      <c r="A61" t="s">
        <v>31</v>
      </c>
      <c r="C61" s="28">
        <v>0.045</v>
      </c>
    </row>
    <row r="62" spans="1:3" ht="12.75">
      <c r="A62" t="s">
        <v>32</v>
      </c>
      <c r="C62" s="28">
        <v>1.18</v>
      </c>
    </row>
    <row r="63" spans="1:4" ht="12.75">
      <c r="A63" t="s">
        <v>33</v>
      </c>
      <c r="C63" s="17">
        <f>(C59+(1-C62)/15)/((1+C62)/2)</f>
        <v>0.08990825688073396</v>
      </c>
      <c r="D63" s="7" t="s">
        <v>20</v>
      </c>
    </row>
    <row r="64" ht="12.75">
      <c r="D64" s="7" t="s">
        <v>88</v>
      </c>
    </row>
    <row r="67" ht="18.75">
      <c r="A67" s="34" t="s">
        <v>34</v>
      </c>
    </row>
    <row r="68" ht="12.75">
      <c r="A68" t="s">
        <v>35</v>
      </c>
    </row>
    <row r="69" spans="1:6" ht="12.75">
      <c r="A69" t="s">
        <v>24</v>
      </c>
      <c r="B69" s="28">
        <v>4785000000</v>
      </c>
      <c r="F69" t="s">
        <v>21</v>
      </c>
    </row>
    <row r="70" spans="1:8" ht="12.75">
      <c r="A70" t="s">
        <v>37</v>
      </c>
      <c r="B70" s="28">
        <v>1563000000</v>
      </c>
      <c r="F70" t="s">
        <v>22</v>
      </c>
      <c r="G70" s="28">
        <v>3328000000</v>
      </c>
      <c r="H70" t="s">
        <v>39</v>
      </c>
    </row>
    <row r="71" spans="1:6" ht="12.75">
      <c r="A71" t="s">
        <v>38</v>
      </c>
      <c r="F71" t="s">
        <v>23</v>
      </c>
    </row>
    <row r="72" spans="1:8" ht="12.75">
      <c r="A72" t="s">
        <v>72</v>
      </c>
      <c r="B72" s="25">
        <f>SUM(B69:B70)</f>
        <v>6348000000</v>
      </c>
      <c r="C72" t="s">
        <v>36</v>
      </c>
      <c r="F72" t="s">
        <v>24</v>
      </c>
      <c r="G72" s="28">
        <v>70000000</v>
      </c>
      <c r="H72" t="s">
        <v>45</v>
      </c>
    </row>
    <row r="73" ht="12.75">
      <c r="B73" s="14"/>
    </row>
    <row r="74" spans="1:2" ht="12.75">
      <c r="A74" t="s">
        <v>46</v>
      </c>
      <c r="B74" s="25">
        <f>B52+B72+B54</f>
        <v>9746000000</v>
      </c>
    </row>
    <row r="75" ht="12.75">
      <c r="A75" s="33" t="s">
        <v>40</v>
      </c>
    </row>
    <row r="76" spans="1:2" ht="12.75">
      <c r="A76" t="s">
        <v>41</v>
      </c>
      <c r="B76" s="17">
        <f>B72/B74</f>
        <v>0.6513441411861276</v>
      </c>
    </row>
    <row r="77" spans="1:2" ht="12.75">
      <c r="A77" t="s">
        <v>42</v>
      </c>
      <c r="B77" s="17">
        <f>G70/B74</f>
        <v>0.3414734249948697</v>
      </c>
    </row>
    <row r="78" spans="1:2" ht="12.75">
      <c r="A78" t="s">
        <v>47</v>
      </c>
      <c r="B78" s="17">
        <f>G72/B74</f>
        <v>0.007182433819002668</v>
      </c>
    </row>
    <row r="79" ht="12.75">
      <c r="B79" s="1"/>
    </row>
    <row r="80" spans="1:2" ht="12.75">
      <c r="A80" t="s">
        <v>43</v>
      </c>
      <c r="B80" s="28">
        <v>0.5</v>
      </c>
    </row>
    <row r="81" spans="1:3" ht="12.75">
      <c r="A81" t="s">
        <v>34</v>
      </c>
      <c r="B81" s="26">
        <f>B76*F45+B78*H53+B77*C63*(1-B80)</f>
        <v>0.053610907572726275</v>
      </c>
      <c r="C81" s="31" t="s">
        <v>81</v>
      </c>
    </row>
    <row r="83" spans="12:13" ht="12.75">
      <c r="L83" s="16"/>
      <c r="M83" s="16"/>
    </row>
    <row r="84" spans="1:13" ht="18.75">
      <c r="A84" s="34" t="s">
        <v>86</v>
      </c>
      <c r="B84" s="32"/>
      <c r="C84" s="32"/>
      <c r="D84" s="32"/>
      <c r="L84" s="16"/>
      <c r="M84" s="16"/>
    </row>
    <row r="85" ht="12.75">
      <c r="A85" s="7" t="s">
        <v>58</v>
      </c>
    </row>
    <row r="86" ht="12.75">
      <c r="A86" s="7" t="s">
        <v>64</v>
      </c>
    </row>
    <row r="87" ht="12.75">
      <c r="A87" t="s">
        <v>48</v>
      </c>
    </row>
    <row r="88" spans="1:7" ht="12.75">
      <c r="A88" t="s">
        <v>67</v>
      </c>
      <c r="G88" s="7" t="s">
        <v>65</v>
      </c>
    </row>
    <row r="90" spans="1:3" ht="12.75">
      <c r="A90" t="s">
        <v>50</v>
      </c>
      <c r="C90" s="16"/>
    </row>
    <row r="91" spans="1:3" ht="12.75">
      <c r="A91" t="s">
        <v>66</v>
      </c>
      <c r="C91" s="28">
        <v>156</v>
      </c>
    </row>
    <row r="92" spans="1:4" ht="12.75">
      <c r="A92" t="s">
        <v>51</v>
      </c>
      <c r="C92" s="29">
        <f>0.5*29+0.5*31.5</f>
        <v>30.25</v>
      </c>
      <c r="D92" t="s">
        <v>68</v>
      </c>
    </row>
    <row r="93" spans="1:3" ht="12.75">
      <c r="A93" t="s">
        <v>52</v>
      </c>
      <c r="C93" s="28">
        <v>7</v>
      </c>
    </row>
    <row r="94" spans="1:4" ht="12.75">
      <c r="A94" t="s">
        <v>59</v>
      </c>
      <c r="C94" s="17">
        <f>C96*C92</f>
        <v>172.77009539747553</v>
      </c>
      <c r="D94" t="s">
        <v>60</v>
      </c>
    </row>
    <row r="95" spans="1:3" ht="12.75">
      <c r="A95" t="s">
        <v>49</v>
      </c>
      <c r="C95" s="17">
        <f>(1+B81)^C93</f>
        <v>1.4413246238608441</v>
      </c>
    </row>
    <row r="96" spans="1:3" ht="12.75">
      <c r="A96" t="s">
        <v>54</v>
      </c>
      <c r="C96" s="17">
        <f>(1-1/C95)/B81</f>
        <v>5.711408112313241</v>
      </c>
    </row>
    <row r="97" spans="1:5" ht="12.75">
      <c r="A97" t="s">
        <v>53</v>
      </c>
      <c r="C97" s="17">
        <f>-C91+C92*C96</f>
        <v>16.77009539747553</v>
      </c>
      <c r="E97" s="36" t="s">
        <v>83</v>
      </c>
    </row>
    <row r="98" spans="1:5" ht="12.75">
      <c r="A98" t="s">
        <v>61</v>
      </c>
      <c r="C98" s="26">
        <f>IRR(C102:C109)</f>
        <v>0.08279191494133253</v>
      </c>
      <c r="E98" s="36" t="s">
        <v>84</v>
      </c>
    </row>
    <row r="101" spans="1:7" ht="12.75">
      <c r="A101" s="16"/>
      <c r="B101" s="15" t="s">
        <v>62</v>
      </c>
      <c r="C101" s="15" t="s">
        <v>63</v>
      </c>
      <c r="D101" s="16"/>
      <c r="E101" s="16"/>
      <c r="F101" s="16"/>
      <c r="G101" s="16"/>
    </row>
    <row r="102" spans="1:7" ht="12.75">
      <c r="A102" s="16"/>
      <c r="B102" s="15">
        <v>0</v>
      </c>
      <c r="C102" s="15">
        <v>-156</v>
      </c>
      <c r="D102" s="16"/>
      <c r="E102" s="16"/>
      <c r="F102" s="16"/>
      <c r="G102" s="16"/>
    </row>
    <row r="103" spans="2:4" ht="12.75">
      <c r="B103" s="15">
        <f aca="true" t="shared" si="5" ref="B103:B109">B102+1</f>
        <v>1</v>
      </c>
      <c r="C103" s="15">
        <v>30.25</v>
      </c>
      <c r="D103" s="31" t="s">
        <v>82</v>
      </c>
    </row>
    <row r="104" spans="2:3" ht="12.75">
      <c r="B104" s="15">
        <f t="shared" si="5"/>
        <v>2</v>
      </c>
      <c r="C104" s="15">
        <v>30.25</v>
      </c>
    </row>
    <row r="105" spans="2:3" ht="12.75">
      <c r="B105" s="15">
        <f t="shared" si="5"/>
        <v>3</v>
      </c>
      <c r="C105" s="15">
        <v>30.25</v>
      </c>
    </row>
    <row r="106" spans="2:3" ht="12.75">
      <c r="B106" s="15">
        <f t="shared" si="5"/>
        <v>4</v>
      </c>
      <c r="C106" s="15">
        <v>30.25</v>
      </c>
    </row>
    <row r="107" spans="2:3" ht="12.75">
      <c r="B107" s="15">
        <f t="shared" si="5"/>
        <v>5</v>
      </c>
      <c r="C107" s="15">
        <v>30.25</v>
      </c>
    </row>
    <row r="108" spans="2:3" ht="12.75">
      <c r="B108" s="15">
        <f t="shared" si="5"/>
        <v>6</v>
      </c>
      <c r="C108" s="15">
        <v>30.25</v>
      </c>
    </row>
    <row r="109" spans="2:3" ht="12.75">
      <c r="B109" s="15">
        <f t="shared" si="5"/>
        <v>7</v>
      </c>
      <c r="C109" s="15">
        <v>30.25</v>
      </c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5" ht="12.75">
      <c r="C115" s="4"/>
    </row>
    <row r="117" ht="12.75">
      <c r="C117" s="5"/>
    </row>
    <row r="121" ht="12.75">
      <c r="C121" s="4"/>
    </row>
    <row r="131" ht="12.75">
      <c r="C131" s="6"/>
    </row>
  </sheetData>
  <sheetProtection/>
  <printOptions/>
  <pageMargins left="0.52" right="0.25" top="0.52" bottom="0.5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