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60" yWindow="0" windowWidth="27500" windowHeight="12620" tabRatio="675" firstSheet="8" activeTab="8"/>
  </bookViews>
  <sheets>
    <sheet name="Intro" sheetId="1" r:id="rId1"/>
    <sheet name="Financial Statements" sheetId="2" r:id="rId2"/>
    <sheet name="Ratio Analysis" sheetId="3" r:id="rId3"/>
    <sheet name="Cash Flow Analysis" sheetId="4" r:id="rId4"/>
    <sheet name="Credit Analysis" sheetId="5" r:id="rId5"/>
    <sheet name="Forecasting Assumptions" sheetId="6" r:id="rId6"/>
    <sheet name="Valuation Parameters" sheetId="7" r:id="rId7"/>
    <sheet name="Residual Income Valuations" sheetId="8" r:id="rId8"/>
    <sheet name="DCF Valuations" sheetId="9" r:id="rId9"/>
    <sheet name="EPS Forecaster" sheetId="10" r:id="rId10"/>
    <sheet name="Model Summary" sheetId="11" r:id="rId11"/>
  </sheets>
  <definedNames>
    <definedName name="_xlnm.Print_Area" localSheetId="3">'Cash Flow Analysis'!$A$1:$P$45,'Cash Flow Analysis'!$A$47:$P$116</definedName>
    <definedName name="_xlnm.Print_Area" localSheetId="9">'EPS Forecaster'!$A$1:$G$25</definedName>
    <definedName name="_xlnm.Print_Area" localSheetId="5">'Forecasting Assumptions'!$A$1:$Q$49</definedName>
    <definedName name="_xlnm.Print_Area" localSheetId="6">'Valuation Parameters'!$A$1:$K$20</definedName>
    <definedName name="solver_adj" localSheetId="8" hidden="1">'DCF Valuations'!$B$29</definedName>
    <definedName name="solver_adj" localSheetId="5" hidden="1">'Forecasting Assumptions'!$Q$15</definedName>
    <definedName name="solver_adj" localSheetId="0" hidden="1">'Intro'!$Y$11</definedName>
    <definedName name="solver_adj" localSheetId="7" hidden="1">'Residual Income Valuations'!$B$34</definedName>
    <definedName name="solver_cvg" localSheetId="8" hidden="1">0.001</definedName>
    <definedName name="solver_cvg" localSheetId="5" hidden="1">0.001</definedName>
    <definedName name="solver_cvg" localSheetId="7" hidden="1">0.001</definedName>
    <definedName name="solver_drv" localSheetId="8" hidden="1">1</definedName>
    <definedName name="solver_drv" localSheetId="5" hidden="1">1</definedName>
    <definedName name="solver_drv" localSheetId="7" hidden="1">1</definedName>
    <definedName name="solver_est" localSheetId="8" hidden="1">1</definedName>
    <definedName name="solver_est" localSheetId="5" hidden="1">1</definedName>
    <definedName name="solver_est" localSheetId="7" hidden="1">1</definedName>
    <definedName name="solver_itr" localSheetId="8" hidden="1">100</definedName>
    <definedName name="solver_itr" localSheetId="5" hidden="1">100</definedName>
    <definedName name="solver_itr" localSheetId="7" hidden="1">100</definedName>
    <definedName name="solver_lin" localSheetId="8" hidden="1">2</definedName>
    <definedName name="solver_lin" localSheetId="5" hidden="1">2</definedName>
    <definedName name="solver_lin" localSheetId="7" hidden="1">2</definedName>
    <definedName name="solver_neg" localSheetId="8" hidden="1">2</definedName>
    <definedName name="solver_neg" localSheetId="5" hidden="1">2</definedName>
    <definedName name="solver_neg" localSheetId="7" hidden="1">2</definedName>
    <definedName name="solver_num" localSheetId="8" hidden="1">0</definedName>
    <definedName name="solver_num" localSheetId="5" hidden="1">0</definedName>
    <definedName name="solver_num" localSheetId="7" hidden="1">0</definedName>
    <definedName name="solver_nwt" localSheetId="8" hidden="1">1</definedName>
    <definedName name="solver_nwt" localSheetId="5" hidden="1">1</definedName>
    <definedName name="solver_nwt" localSheetId="7" hidden="1">1</definedName>
    <definedName name="solver_opt" localSheetId="8" hidden="1">'DCF Valuations'!$A$11</definedName>
    <definedName name="solver_opt" localSheetId="5" hidden="1">'Forecasting Assumptions'!#REF!</definedName>
    <definedName name="solver_opt" localSheetId="0" hidden="1">'Intro'!$Z$47</definedName>
    <definedName name="solver_opt" localSheetId="7" hidden="1">'Residual Income Valuations'!$A$11</definedName>
    <definedName name="solver_pre" localSheetId="8" hidden="1">0.000001</definedName>
    <definedName name="solver_pre" localSheetId="5" hidden="1">0.000001</definedName>
    <definedName name="solver_pre" localSheetId="7" hidden="1">0.000001</definedName>
    <definedName name="solver_scl" localSheetId="8" hidden="1">2</definedName>
    <definedName name="solver_scl" localSheetId="5" hidden="1">2</definedName>
    <definedName name="solver_scl" localSheetId="7" hidden="1">2</definedName>
    <definedName name="solver_sho" localSheetId="8" hidden="1">2</definedName>
    <definedName name="solver_sho" localSheetId="5" hidden="1">2</definedName>
    <definedName name="solver_sho" localSheetId="7" hidden="1">2</definedName>
    <definedName name="solver_tim" localSheetId="8" hidden="1">100</definedName>
    <definedName name="solver_tim" localSheetId="5" hidden="1">100</definedName>
    <definedName name="solver_tim" localSheetId="7" hidden="1">100</definedName>
    <definedName name="solver_tol" localSheetId="8" hidden="1">0.05</definedName>
    <definedName name="solver_tol" localSheetId="5" hidden="1">0.05</definedName>
    <definedName name="solver_tol" localSheetId="7" hidden="1">0.05</definedName>
    <definedName name="solver_typ" localSheetId="8" hidden="1">3</definedName>
    <definedName name="solver_typ" localSheetId="5" hidden="1">3</definedName>
    <definedName name="solver_typ" localSheetId="0" hidden="1">3</definedName>
    <definedName name="solver_typ" localSheetId="7" hidden="1">3</definedName>
    <definedName name="solver_val" localSheetId="8" hidden="1">1</definedName>
    <definedName name="solver_val" localSheetId="5" hidden="1">0</definedName>
    <definedName name="solver_val" localSheetId="0" hidden="1">0</definedName>
    <definedName name="solver_val" localSheetId="7" hidden="1">1</definedName>
  </definedNames>
  <calcPr fullCalcOnLoad="1"/>
</workbook>
</file>

<file path=xl/sharedStrings.xml><?xml version="1.0" encoding="utf-8"?>
<sst xmlns="http://schemas.openxmlformats.org/spreadsheetml/2006/main" count="634" uniqueCount="438">
  <si>
    <t>Total Current Assets</t>
  </si>
  <si>
    <t xml:space="preserve"> =Cash From Investing</t>
  </si>
  <si>
    <t xml:space="preserve"> =Cash From Financing</t>
  </si>
  <si>
    <t xml:space="preserve"> +/-Clean Surplus Plug (Ignore)</t>
  </si>
  <si>
    <t xml:space="preserve"> +Cash From Investing</t>
  </si>
  <si>
    <t xml:space="preserve"> +Increase in Preferred Stock</t>
  </si>
  <si>
    <t>Analysis of Earnings Quality</t>
  </si>
  <si>
    <t>Valuation Parameters</t>
  </si>
  <si>
    <t xml:space="preserve"> -Increase in Other Current Assets</t>
  </si>
  <si>
    <t xml:space="preserve"> +Increase in Accounts Payable</t>
  </si>
  <si>
    <t>Ending Inventories/COGS</t>
  </si>
  <si>
    <t>Ending Other Current Assets/Sales</t>
  </si>
  <si>
    <t>Assets</t>
  </si>
  <si>
    <t>Earnings</t>
  </si>
  <si>
    <t>Free Cash Flow to Investors</t>
  </si>
  <si>
    <t>min decile 5</t>
  </si>
  <si>
    <t>min decile 6</t>
  </si>
  <si>
    <t>min decile 7</t>
  </si>
  <si>
    <t>min decile 8</t>
  </si>
  <si>
    <t>min decile 9</t>
  </si>
  <si>
    <t>STEPS:</t>
  </si>
  <si>
    <t>Annual Growth Rates</t>
  </si>
  <si>
    <t xml:space="preserve"> = Operating Accruals/NOA</t>
  </si>
  <si>
    <t>New Shares Issued (Repurchased)</t>
  </si>
  <si>
    <t>Shares Outstanding at End of Year</t>
  </si>
  <si>
    <t>Cost of Goods Sold</t>
  </si>
  <si>
    <t>Gross Profit</t>
  </si>
  <si>
    <t>R&amp;D Expense</t>
  </si>
  <si>
    <t>SG&amp;A Expense</t>
  </si>
  <si>
    <t>EBITDA</t>
  </si>
  <si>
    <t>Preferred Stock</t>
  </si>
  <si>
    <t>Common Dividends</t>
  </si>
  <si>
    <t>After Tax Weighted Average Cost of Capital</t>
  </si>
  <si>
    <t>Entity Value</t>
  </si>
  <si>
    <t>Ratio Analysis</t>
  </si>
  <si>
    <t xml:space="preserve">   Cash From Operations</t>
  </si>
  <si>
    <t xml:space="preserve"> +Cash from Investing</t>
  </si>
  <si>
    <t xml:space="preserve">   Net Operating Income</t>
  </si>
  <si>
    <t>Inventory Holding Period</t>
  </si>
  <si>
    <t>Enter Cost of Equity Capital:</t>
  </si>
  <si>
    <t>Enter Value of Contingent Claims on Common Equity ($000):</t>
  </si>
  <si>
    <t>Present Value of FCF to Debt</t>
  </si>
  <si>
    <t>Present Value of FCF to Preferred Stock</t>
  </si>
  <si>
    <t>Profitability</t>
  </si>
  <si>
    <t>Basic Dupont Model</t>
  </si>
  <si>
    <t>Advanced Dupont Model</t>
  </si>
  <si>
    <t>Forecasted Value as of Valuation Date</t>
  </si>
  <si>
    <t>Less Value of Contingent Equity Claims</t>
  </si>
  <si>
    <t>A Windows vs Macintosh issue can cause the fiscal year end dates to be off by roughly 4 years.  If this occurs, select and copy the 1462 cell below, select the cells with the dates, choose Paste Special Values and select Subtract or Add.</t>
  </si>
  <si>
    <t>Fiscal Year End (YYYY-MM-DD)</t>
  </si>
  <si>
    <t>Supplements to the textbook cases</t>
  </si>
  <si>
    <t>Where to buy the latest 'Equity Valuation and Analysis' textbook</t>
  </si>
  <si>
    <t>Valuation to All Investors</t>
  </si>
  <si>
    <t>Ending Other Assets/Sales</t>
  </si>
  <si>
    <t xml:space="preserve">Enter Cost of Net Debt:   </t>
  </si>
  <si>
    <t>Cost of Net Debt</t>
  </si>
  <si>
    <t>Less Value of Net Debt</t>
  </si>
  <si>
    <t>Net Interest Expense/Avge Net Debt</t>
  </si>
  <si>
    <t>Net Interest Expense to Net Debtholders</t>
  </si>
  <si>
    <t>Required Valuation Parameters (to compute value of common equity):</t>
  </si>
  <si>
    <t>Common Equity</t>
  </si>
  <si>
    <t>($000, except per share amounts)</t>
  </si>
  <si>
    <t>(Red Shading = Quality Flag)</t>
  </si>
  <si>
    <t>Historical Data For:</t>
  </si>
  <si>
    <t>Income Statement</t>
  </si>
  <si>
    <t>Depreciation &amp; Amortization</t>
  </si>
  <si>
    <t>EBIT</t>
  </si>
  <si>
    <t>Non-Operating Income (Loss)</t>
  </si>
  <si>
    <t>EBT</t>
  </si>
  <si>
    <t xml:space="preserve"> = Ending Cash Balance</t>
  </si>
  <si>
    <t>Forecasting Assumptions</t>
  </si>
  <si>
    <t xml:space="preserve"> +Increase in Taxes Payable</t>
  </si>
  <si>
    <t xml:space="preserve"> -Increase in Investments</t>
  </si>
  <si>
    <t xml:space="preserve"> -Increase in Other Assets</t>
  </si>
  <si>
    <t xml:space="preserve"> +Increase in Debt</t>
  </si>
  <si>
    <t xml:space="preserve"> +Increase in Pref. Stock</t>
  </si>
  <si>
    <t>Net Change in Cash</t>
  </si>
  <si>
    <t xml:space="preserve"> =Free Cash Flow to Common Equity</t>
  </si>
  <si>
    <t xml:space="preserve"> +Preferred Dividends</t>
  </si>
  <si>
    <t xml:space="preserve"> +Dividends on Preferred Stock</t>
  </si>
  <si>
    <t xml:space="preserve"> +Minority Interest in Earnings</t>
  </si>
  <si>
    <t>KSS</t>
  </si>
  <si>
    <t>1) enter financial data on the Financial Statements Sheet,</t>
  </si>
  <si>
    <t>2) examine the Ratio Analysis and Cash Flow Analysis,</t>
  </si>
  <si>
    <t>4) enter cost of capital assumptions on the Valuation Parameters Sheet to determine the company's value,</t>
  </si>
  <si>
    <t xml:space="preserve"> + Beginning Cash Balance</t>
  </si>
  <si>
    <t>x Total Asset Turnover</t>
  </si>
  <si>
    <t xml:space="preserve">   Net Profit Margin</t>
  </si>
  <si>
    <t>x Total Leverage</t>
  </si>
  <si>
    <t>Forecast Equity Value Before Time Adj.</t>
  </si>
  <si>
    <t>Forecast Price/Share</t>
  </si>
  <si>
    <t>Fiscal Year</t>
  </si>
  <si>
    <t>Data can be entered manually in financial statements or as a block cut-and-paste from the Case Data Sheet to the Raw Data Input section below.</t>
  </si>
  <si>
    <t>NI to TA default rates</t>
  </si>
  <si>
    <t>min decile 2</t>
  </si>
  <si>
    <t>decile 1</t>
  </si>
  <si>
    <t>min decile 3</t>
  </si>
  <si>
    <t>min decile 4</t>
  </si>
  <si>
    <t>approximate weighted average</t>
  </si>
  <si>
    <t xml:space="preserve"> -Dividends Paid on Common</t>
  </si>
  <si>
    <t xml:space="preserve"> +Cash From Operations</t>
  </si>
  <si>
    <t xml:space="preserve"> -Net Issuance of Common Stock</t>
  </si>
  <si>
    <t xml:space="preserve"> +Dividends Paid</t>
  </si>
  <si>
    <t xml:space="preserve"> -Taxes on EBIT</t>
  </si>
  <si>
    <t xml:space="preserve"> = NOPLAT</t>
  </si>
  <si>
    <t>x Net Operating Asset Turnover</t>
  </si>
  <si>
    <t>Paid in Common Capital (Net)</t>
  </si>
  <si>
    <t>Retained Earnings</t>
  </si>
  <si>
    <t>Forecasted Value as of Valuation Date</t>
  </si>
  <si>
    <t>Other Assets</t>
  </si>
  <si>
    <t>Total Assets</t>
  </si>
  <si>
    <t>Current Debt</t>
  </si>
  <si>
    <t>Accounts Payable</t>
  </si>
  <si>
    <t>DCF Valuations</t>
  </si>
  <si>
    <t>Non-Operating Income/Sales</t>
  </si>
  <si>
    <t>cut-and-paste raw data block from DataMaker file here</t>
  </si>
  <si>
    <t>= Return on Equity</t>
  </si>
  <si>
    <t xml:space="preserve">   Net Operating Margin</t>
  </si>
  <si>
    <t>Present Value of FCF</t>
  </si>
  <si>
    <t>Less Value of Contingent Equity Claims</t>
  </si>
  <si>
    <t>Annual Sales Growth</t>
  </si>
  <si>
    <t xml:space="preserve">   implied default probability</t>
  </si>
  <si>
    <t>Valuation to Common Equity</t>
  </si>
  <si>
    <t>Residual Income</t>
  </si>
  <si>
    <t xml:space="preserve"> - Increase in Net Operating Assets</t>
  </si>
  <si>
    <t>Net Income to Total Assets</t>
  </si>
  <si>
    <t>Total Liabilities to Total Assets</t>
  </si>
  <si>
    <t>EBIT to Interest Expense</t>
  </si>
  <si>
    <t>Ending Accounts Payable/COGS</t>
  </si>
  <si>
    <t>Ending Other Current Liabs/Sales</t>
  </si>
  <si>
    <t>Ending Investments/Sales</t>
  </si>
  <si>
    <t>Ending Intangibles/Sales</t>
  </si>
  <si>
    <t>5) evaluate the details of the resulting valuation for either the Residual Income of Discounted Cash Flow models.</t>
  </si>
  <si>
    <t>Net Financial Obligations</t>
  </si>
  <si>
    <t>PP&amp;E (Net)</t>
  </si>
  <si>
    <t>Investments</t>
  </si>
  <si>
    <t>Intangibles</t>
  </si>
  <si>
    <t>Income Taxes</t>
  </si>
  <si>
    <t>Minority Interest in Earnings</t>
  </si>
  <si>
    <t>Values for Dupont Analysis and Valuation</t>
  </si>
  <si>
    <t>Receivables</t>
  </si>
  <si>
    <t>Inventories</t>
  </si>
  <si>
    <t>Other Current Assets</t>
  </si>
  <si>
    <t xml:space="preserve">Enter Cost of Minority Interest: </t>
  </si>
  <si>
    <t>Cost of Minority Interest</t>
  </si>
  <si>
    <t>Beginning Book Value of Minority Interest</t>
  </si>
  <si>
    <t>Residual Income to Minority Interest</t>
  </si>
  <si>
    <t>Present Value of MI Residual Income</t>
  </si>
  <si>
    <t>Value of Minority Interest</t>
  </si>
  <si>
    <t>Less Value of Minority Interest</t>
  </si>
  <si>
    <t xml:space="preserve"> - Increase in Common Equity</t>
  </si>
  <si>
    <t>Avge Days to Collect Receivables</t>
  </si>
  <si>
    <t>Net Income</t>
  </si>
  <si>
    <t>Balance Sheet</t>
  </si>
  <si>
    <t xml:space="preserve"> +Increase in Other Curr. Liabilities</t>
  </si>
  <si>
    <t>Company Name and Ticker</t>
  </si>
  <si>
    <t>Common Equity Issued (Repurchased)</t>
  </si>
  <si>
    <t>Forecast Horizon</t>
  </si>
  <si>
    <t>Terminal Year's ROE</t>
  </si>
  <si>
    <t>Free Cash Flow to Minority Interest</t>
  </si>
  <si>
    <t>Income Statement Assumptions</t>
  </si>
  <si>
    <t>Balance Sheet Assumptions</t>
  </si>
  <si>
    <t>Ending Taxes Payable/Sales</t>
  </si>
  <si>
    <t>Enter Date of Valuation:</t>
  </si>
  <si>
    <t>Estimated Price/Earnings Ratio</t>
  </si>
  <si>
    <t>Estimated Market/Book Ratio</t>
  </si>
  <si>
    <t>Other Useful Links:</t>
  </si>
  <si>
    <t>Check here for updated versions of eVal</t>
  </si>
  <si>
    <t>Minority Interest/After Tax Income</t>
  </si>
  <si>
    <t xml:space="preserve"> </t>
  </si>
  <si>
    <t>Common Equity as of</t>
  </si>
  <si>
    <t>Analysis of Credit Risk</t>
  </si>
  <si>
    <t>Income Taxes Payable</t>
  </si>
  <si>
    <t>Dividends to Preferred Stockholders</t>
  </si>
  <si>
    <t>This Year's ROE</t>
  </si>
  <si>
    <t>This Year's Sales Growth</t>
  </si>
  <si>
    <t>This Year's Forecast EPS</t>
  </si>
  <si>
    <t>Cost of Debt</t>
  </si>
  <si>
    <t>Cost of Preferred Stock</t>
  </si>
  <si>
    <t>Free Cash Flow to Debt</t>
  </si>
  <si>
    <t>Value of Debt</t>
  </si>
  <si>
    <t>Free Cash Flow to Preferred Stock</t>
  </si>
  <si>
    <t>Sales Growth thresholds</t>
  </si>
  <si>
    <t xml:space="preserve"> -Dividends Paid on Preferred</t>
  </si>
  <si>
    <t>TL to TA default rates</t>
  </si>
  <si>
    <t>Lookup Table of default probability</t>
  </si>
  <si>
    <t>min decile 10</t>
  </si>
  <si>
    <t>Quick Ratio thresholds</t>
  </si>
  <si>
    <t>EBIT to Int thresholds</t>
  </si>
  <si>
    <t>Inv Holding thresholds</t>
  </si>
  <si>
    <t>Inv Holding default rates</t>
  </si>
  <si>
    <t>as the Entity Value less non-equity claims:</t>
  </si>
  <si>
    <t>Implied Return on Equity</t>
  </si>
  <si>
    <t xml:space="preserve"> +/-Net Issuance of Common Stock</t>
  </si>
  <si>
    <t>Valuation Date</t>
  </si>
  <si>
    <t>= Return on Net Operating Assets</t>
  </si>
  <si>
    <t>Forecasted Value as of Valuation Date</t>
  </si>
  <si>
    <t>Avge Inventory Holding Period</t>
  </si>
  <si>
    <t>Avge Days to Pay Payables</t>
  </si>
  <si>
    <t>PP&amp;E Turnover</t>
  </si>
  <si>
    <t>Current Ratio</t>
  </si>
  <si>
    <t xml:space="preserve"> -Purchases of Intangibles</t>
  </si>
  <si>
    <t xml:space="preserve"> +Interest Expense</t>
  </si>
  <si>
    <t>Working Capital Assumptions</t>
  </si>
  <si>
    <t>Other Operating Asset Assumptions</t>
  </si>
  <si>
    <t>Common Shares Outstanding at BS Date</t>
  </si>
  <si>
    <t>Equivalent Shares at Valuation Date</t>
  </si>
  <si>
    <t>Forecasted Price at Valuation Date</t>
  </si>
  <si>
    <t>Paid in Common Capital (Net)</t>
  </si>
  <si>
    <t>such that the two equity values below are approximately equal:</t>
  </si>
  <si>
    <t>Other Income/Sales</t>
  </si>
  <si>
    <t>Equity Value computed directly</t>
  </si>
  <si>
    <t>from flows to equityholders:</t>
  </si>
  <si>
    <t>Equity Value computed indirectly</t>
  </si>
  <si>
    <t>PP&amp;E (Net)</t>
  </si>
  <si>
    <t>+Net Income</t>
  </si>
  <si>
    <t>Average ROE (last five years)</t>
  </si>
  <si>
    <t>Minority Interest/Total Assets</t>
  </si>
  <si>
    <t>Quick Ratio</t>
  </si>
  <si>
    <t>EBIT Interest Coverage</t>
  </si>
  <si>
    <t>Investing:</t>
  </si>
  <si>
    <t>Most Recent Fiscal Year End</t>
  </si>
  <si>
    <t>Margin Analysis</t>
  </si>
  <si>
    <t>Turnover Analysis</t>
  </si>
  <si>
    <t>Credit Analysis</t>
  </si>
  <si>
    <t>NI to TA thresholds</t>
  </si>
  <si>
    <t>TL to TA thresholds</t>
  </si>
  <si>
    <t>Deferred Taxes/Sales</t>
  </si>
  <si>
    <t>Present Value of Preferred Residual Income</t>
  </si>
  <si>
    <t>Present Value of Residual Investor Income</t>
  </si>
  <si>
    <t>Net Operating Income</t>
  </si>
  <si>
    <t>Net Financial Expense</t>
  </si>
  <si>
    <t>Net Income</t>
  </si>
  <si>
    <t>Net Operating Assets</t>
  </si>
  <si>
    <t>ROE = RNOA + LEV*Spread</t>
  </si>
  <si>
    <t>Raw Data Inputs</t>
  </si>
  <si>
    <t>Total Common Equity</t>
  </si>
  <si>
    <t>EBITDA Margin</t>
  </si>
  <si>
    <t>EBIT Margin</t>
  </si>
  <si>
    <t>Net Borrowing Cost (NBC)</t>
  </si>
  <si>
    <t>Spread (RNOA - NBC)</t>
  </si>
  <si>
    <t>Consensus Analyst Forecast of EPS</t>
  </si>
  <si>
    <t>Net Operating Asset Turnover</t>
  </si>
  <si>
    <t>Common Shares Outstanding</t>
  </si>
  <si>
    <t>Net Income (available to common)</t>
  </si>
  <si>
    <t>Operating Cash and Market. Sec.</t>
  </si>
  <si>
    <t>Receivables</t>
  </si>
  <si>
    <t>Inventories</t>
  </si>
  <si>
    <t>Total Liabilities</t>
  </si>
  <si>
    <t>Net Operating Income</t>
  </si>
  <si>
    <t>Ext. Items &amp; Disc. Ops./Sales</t>
  </si>
  <si>
    <t>Pref. Dividends/Avge Pref. Stock</t>
  </si>
  <si>
    <t>Forecasted Price at Year End</t>
  </si>
  <si>
    <t>Model Summary</t>
  </si>
  <si>
    <t>EBITDA Interest Coverage</t>
  </si>
  <si>
    <t>Forecast Five Year Growth Rate in EPS</t>
  </si>
  <si>
    <t>Value Attributable to Common Equity</t>
  </si>
  <si>
    <t xml:space="preserve"> +Increase in Deferred Taxes</t>
  </si>
  <si>
    <t xml:space="preserve"> +Increase in Other Liabilities</t>
  </si>
  <si>
    <t>Present Value of FCF to Minority Interest</t>
  </si>
  <si>
    <t>Net Interest Expense</t>
  </si>
  <si>
    <t xml:space="preserve">  -Increase in Operating Cash</t>
  </si>
  <si>
    <t>Net Working Capital Turnover</t>
  </si>
  <si>
    <t>Enter Dilution Factor for Splits Occurring Since Latest Fiscal Year End:</t>
  </si>
  <si>
    <t xml:space="preserve">  (in 000s at most recent fiscal year end)</t>
  </si>
  <si>
    <t xml:space="preserve"> - Long-Term Capital Structure</t>
  </si>
  <si>
    <t>Gross Margin</t>
  </si>
  <si>
    <t>Return on Equity</t>
  </si>
  <si>
    <t>Present Value of Residual Interest Income</t>
  </si>
  <si>
    <t>Residual Interest Expense</t>
  </si>
  <si>
    <t>Beginning Net Operating Assets</t>
  </si>
  <si>
    <t>Effective Tax Rate</t>
  </si>
  <si>
    <t>Optional Valuation Parameters (to compute value to all investors):</t>
  </si>
  <si>
    <t>Residual Income Valuation</t>
  </si>
  <si>
    <t>Cash Flow Analysis</t>
  </si>
  <si>
    <t>Sales Growth default rates</t>
  </si>
  <si>
    <t>EBIT to Int default rates</t>
  </si>
  <si>
    <t>Quick Ratio default rates</t>
  </si>
  <si>
    <t xml:space="preserve">  - NOA Turnover Growth</t>
  </si>
  <si>
    <t xml:space="preserve"> + Non-Current Op. Accruals/NOA</t>
  </si>
  <si>
    <t>Pro Forma Statement of Cash Flows</t>
  </si>
  <si>
    <t xml:space="preserve"> -Increase in Inventory</t>
  </si>
  <si>
    <t xml:space="preserve">  EBIT</t>
  </si>
  <si>
    <t>FFO to Total Debt</t>
  </si>
  <si>
    <t>CFO to Total Debt</t>
  </si>
  <si>
    <t>Operating:</t>
  </si>
  <si>
    <t>($000)</t>
  </si>
  <si>
    <t>Beg. Retained Earnings</t>
  </si>
  <si>
    <t>Other Liabilities</t>
  </si>
  <si>
    <t>Deferred Taxes</t>
  </si>
  <si>
    <t>Minority Interest</t>
  </si>
  <si>
    <t xml:space="preserve"> -Tax Shield on Interest</t>
  </si>
  <si>
    <t xml:space="preserve"> -Net Issuance of Debt</t>
  </si>
  <si>
    <t>Other Current Liabilities</t>
  </si>
  <si>
    <t>Present Value of Residual Income</t>
  </si>
  <si>
    <t>Minority Interest</t>
  </si>
  <si>
    <t>Other Liabilities</t>
  </si>
  <si>
    <t>Deferred Taxes</t>
  </si>
  <si>
    <t>cost of capital to use as starting point:</t>
  </si>
  <si>
    <t xml:space="preserve">Adjust the Weighted Average Cost of Capital Input </t>
  </si>
  <si>
    <t>Investments</t>
  </si>
  <si>
    <t>Intangibles</t>
  </si>
  <si>
    <t xml:space="preserve"> = Free Cash Flow to Common Equity</t>
  </si>
  <si>
    <t>Other Operating Liability Assumptions</t>
  </si>
  <si>
    <t>Financing Assumptions</t>
  </si>
  <si>
    <t/>
  </si>
  <si>
    <t>Financing:</t>
  </si>
  <si>
    <t>Financing Flows:</t>
  </si>
  <si>
    <t>Date of Valuation</t>
  </si>
  <si>
    <t>Average Implied Default Probability</t>
  </si>
  <si>
    <t>Company Name</t>
  </si>
  <si>
    <t>Statement of Retained Earnings</t>
  </si>
  <si>
    <t>Sales Growth</t>
  </si>
  <si>
    <t>Cost of Goods Sold/Sales</t>
  </si>
  <si>
    <t>Ending Operating Cash/Sales</t>
  </si>
  <si>
    <t>Ending Net PP&amp;E/Sales</t>
  </si>
  <si>
    <t>Free Cash Flow to Common Equity</t>
  </si>
  <si>
    <t>Free Cash Flow to all Investors</t>
  </si>
  <si>
    <t>Current Debt/Total Assets</t>
  </si>
  <si>
    <t>Long-Term Debt/Total Assets</t>
  </si>
  <si>
    <t>Less Value of Debt</t>
  </si>
  <si>
    <t>Minority Interest in Earnings</t>
  </si>
  <si>
    <t>Other Income (Loss)</t>
  </si>
  <si>
    <t xml:space="preserve">3) enter forecasts on the Forecasting Assumptions Sheet to create future Financial Statement predictions, </t>
  </si>
  <si>
    <t>Other Liabilities/Sales</t>
  </si>
  <si>
    <t>Other Current Assets</t>
  </si>
  <si>
    <t xml:space="preserve"> -Dividends Paid to Minority Interest</t>
  </si>
  <si>
    <t xml:space="preserve"> +Dividends Paid to Minority Interest</t>
  </si>
  <si>
    <t>Preferred Stock</t>
  </si>
  <si>
    <t>Other Current Liabilities</t>
  </si>
  <si>
    <t>Total Current Liabilities</t>
  </si>
  <si>
    <t>Long-Term Debt</t>
  </si>
  <si>
    <t>Net Income Before Ext. Items</t>
  </si>
  <si>
    <t>Other Assets</t>
  </si>
  <si>
    <t>Current Debt</t>
  </si>
  <si>
    <t>Accounts Payable</t>
  </si>
  <si>
    <t>Value of Preferred Stock</t>
  </si>
  <si>
    <t>Present Value of First 10 Years</t>
  </si>
  <si>
    <t>Present Value Beyond 10 Years</t>
  </si>
  <si>
    <t>Teriminal Growth Rate</t>
  </si>
  <si>
    <t>Terminal Growth Rate</t>
  </si>
  <si>
    <t>10 years</t>
  </si>
  <si>
    <t>Forecast EPS</t>
  </si>
  <si>
    <t>Computation based on SCF:</t>
  </si>
  <si>
    <t>Ext. Items &amp; Disc. Ops.</t>
  </si>
  <si>
    <t>Preferred Dividends</t>
  </si>
  <si>
    <t>Operating Cash and Market. Sec.</t>
  </si>
  <si>
    <t xml:space="preserve"> +Non-Operating Income (Loss)</t>
  </si>
  <si>
    <t xml:space="preserve"> +Other Income (Loss)</t>
  </si>
  <si>
    <t xml:space="preserve"> +Ext. Items &amp; Disc. Ops.</t>
  </si>
  <si>
    <t xml:space="preserve"> =Cash From Operations</t>
  </si>
  <si>
    <t>Debt to Equity Ratio</t>
  </si>
  <si>
    <t>Net Operating Margin (b4 non-rec.)</t>
  </si>
  <si>
    <t>Net Operating Margin</t>
  </si>
  <si>
    <t xml:space="preserve"> =Funds From Operations</t>
  </si>
  <si>
    <t>Beginning Book Value of Debt</t>
  </si>
  <si>
    <t>Other Income (Loss)</t>
  </si>
  <si>
    <t>Forecast 5 Year EPS Growth</t>
  </si>
  <si>
    <t>Terminal Year's Sales Growth</t>
  </si>
  <si>
    <t>Valuation Data:</t>
  </si>
  <si>
    <t>Estimated Price/Share</t>
  </si>
  <si>
    <t>Return on Equity (b4 non-recurring)</t>
  </si>
  <si>
    <t>Free Cash Flows to Investors</t>
  </si>
  <si>
    <t>Residual Income to all Investors</t>
  </si>
  <si>
    <t>Residual Income to Preferred Stock</t>
  </si>
  <si>
    <t>Analysis of Leverage</t>
  </si>
  <si>
    <t xml:space="preserve"> - Short-Term Liquidity</t>
  </si>
  <si>
    <t>Present Value of FCF to Investors</t>
  </si>
  <si>
    <t>Cost of Equity Capital</t>
  </si>
  <si>
    <t>($000s)</t>
  </si>
  <si>
    <t>Retained Earnings</t>
  </si>
  <si>
    <t>Total Common Equity</t>
  </si>
  <si>
    <t>Total Liabilities and Equity</t>
  </si>
  <si>
    <t>Long-Term Debt</t>
  </si>
  <si>
    <t>Company Name and Ticker</t>
  </si>
  <si>
    <t>Common Shares Outstanding</t>
  </si>
  <si>
    <t>Sales (Net)</t>
  </si>
  <si>
    <t>Sustainable Growth Rate</t>
  </si>
  <si>
    <t>Ext. Items &amp; Disc. Ops.</t>
  </si>
  <si>
    <t>Sales (Net)</t>
  </si>
  <si>
    <t xml:space="preserve"> -Increase in Cash</t>
  </si>
  <si>
    <t>SG&amp;A Expense</t>
  </si>
  <si>
    <t xml:space="preserve"> =Gross Cash Flow</t>
  </si>
  <si>
    <t xml:space="preserve"> -Capital Expenditures</t>
  </si>
  <si>
    <t xml:space="preserve"> -Increase in Working Capital</t>
  </si>
  <si>
    <t>Consensus Analyst Forecast of Growth Rate</t>
  </si>
  <si>
    <t xml:space="preserve">    Current Op. Accruals/NOA</t>
  </si>
  <si>
    <t xml:space="preserve">  - Interaction</t>
  </si>
  <si>
    <t xml:space="preserve">    Sales Growth</t>
  </si>
  <si>
    <t>Traditional Computation of FCF:</t>
  </si>
  <si>
    <r>
      <t xml:space="preserve">   </t>
    </r>
    <r>
      <rPr>
        <sz val="10"/>
        <rFont val="Arial"/>
        <family val="0"/>
      </rPr>
      <t>Net Income</t>
    </r>
  </si>
  <si>
    <t>Return on Net Operating Assets</t>
  </si>
  <si>
    <t>Financial Leverage (LEV)</t>
  </si>
  <si>
    <t>TERMINAL</t>
  </si>
  <si>
    <t>YEAR</t>
  </si>
  <si>
    <t>Company Name:</t>
  </si>
  <si>
    <t>Most Recent Fiscal Year End:</t>
  </si>
  <si>
    <t>Beginning Book Value of Preferred Stock</t>
  </si>
  <si>
    <t>-Common Dividends</t>
  </si>
  <si>
    <t>+/-Clean Surplus Plug (Ignore)</t>
  </si>
  <si>
    <t>Preferred Stock/Total Assets</t>
  </si>
  <si>
    <t>Dividend Payout Ratio</t>
  </si>
  <si>
    <t>=End. Retained Earnings</t>
  </si>
  <si>
    <t>Jump to Raw Data Input</t>
  </si>
  <si>
    <t>Financial Statements</t>
  </si>
  <si>
    <t xml:space="preserve">Enter Cost of Preferred Stock: </t>
  </si>
  <si>
    <t xml:space="preserve"> -Net Issuance of Preferred Stock</t>
  </si>
  <si>
    <t>Fiscal Year of Forecast</t>
  </si>
  <si>
    <t>Less Value of Contingent Equity Claims</t>
  </si>
  <si>
    <t>EPS Forecaster</t>
  </si>
  <si>
    <t>Fiscal Year End Date</t>
  </si>
  <si>
    <t>Actual</t>
  </si>
  <si>
    <t>Forecast</t>
  </si>
  <si>
    <t>Cost of Goods Sold</t>
  </si>
  <si>
    <t>R&amp;D Expense</t>
  </si>
  <si>
    <t>Ending Receivables/Sales</t>
  </si>
  <si>
    <t xml:space="preserve"> -Increase in Receivables</t>
  </si>
  <si>
    <t>Free Cash Flow to Common Equity</t>
  </si>
  <si>
    <t>Sales</t>
  </si>
  <si>
    <t>Preferred Dividends</t>
  </si>
  <si>
    <t>SG&amp;A/Sales</t>
  </si>
  <si>
    <t>Effective Tax Rate</t>
  </si>
  <si>
    <t>Depreciation &amp; Amortization</t>
  </si>
  <si>
    <t>Interest Expense</t>
  </si>
  <si>
    <t>Non-Operating Income (Loss)</t>
  </si>
  <si>
    <t>Income Taxes</t>
  </si>
  <si>
    <t xml:space="preserve"> =Free Cash Flow to Investors</t>
  </si>
  <si>
    <t xml:space="preserve"> +Dividends on Common Stock</t>
  </si>
  <si>
    <t>Less Value of Preferred Stock</t>
  </si>
  <si>
    <t>Cost of Common Equity</t>
  </si>
  <si>
    <t>R&amp;D/Sales</t>
  </si>
  <si>
    <t>Dep&amp;Amort/Avge PP&amp;E and Intang.</t>
  </si>
  <si>
    <t xml:space="preserve"> +Depreciation &amp; Amortization</t>
  </si>
  <si>
    <t>Sales Growth (last five years)</t>
  </si>
  <si>
    <t>Forecast Data:</t>
  </si>
  <si>
    <t>Common Equity at Beginning of Year</t>
  </si>
  <si>
    <t>Income Taxes Payable</t>
  </si>
  <si>
    <t xml:space="preserve">KOHL'S  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</si>
</sst>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0"/>
    <numFmt numFmtId="174" formatCode="0.000"/>
    <numFmt numFmtId="175" formatCode="0.000_);\(0.000\)"/>
    <numFmt numFmtId="176" formatCode="&quot;$&quot;#,##0.00"/>
    <numFmt numFmtId="177" formatCode="0.00_);\(0.00\)"/>
    <numFmt numFmtId="178" formatCode="#,##0.0000_);\(#,##0.0000\)"/>
    <numFmt numFmtId="179" formatCode="0.0000%"/>
    <numFmt numFmtId="180" formatCode="0.0000000%"/>
    <numFmt numFmtId="181" formatCode="[$-1009]dddd\,\ mmmm\ d\,\ yyyy"/>
    <numFmt numFmtId="182" formatCode="[$-1009]d/mmm/yy;@"/>
    <numFmt numFmtId="183" formatCode="yyyy/mm/dd;@"/>
    <numFmt numFmtId="184" formatCode="yyyy/mm/dd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73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72"/>
      <name val="Marigold (W1)"/>
      <family val="4"/>
    </font>
    <font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color indexed="17"/>
      <name val="Arial"/>
      <family val="2"/>
    </font>
    <font>
      <u val="single"/>
      <sz val="14"/>
      <color indexed="12"/>
      <name val="Arial"/>
      <family val="2"/>
    </font>
    <font>
      <sz val="9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0"/>
      <name val="Arial"/>
      <family val="2"/>
    </font>
    <font>
      <sz val="10"/>
      <color indexed="29"/>
      <name val="Arial"/>
      <family val="2"/>
    </font>
    <font>
      <b/>
      <sz val="10"/>
      <color indexed="29"/>
      <name val="Arial"/>
      <family val="2"/>
    </font>
    <font>
      <b/>
      <sz val="10"/>
      <color indexed="53"/>
      <name val="Arial"/>
      <family val="2"/>
    </font>
    <font>
      <b/>
      <sz val="10"/>
      <color indexed="52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8"/>
      <name val="Verdana"/>
      <family val="2"/>
    </font>
    <font>
      <b/>
      <sz val="11"/>
      <color indexed="8"/>
      <name val="Calibri"/>
      <family val="2"/>
    </font>
    <font>
      <u val="single"/>
      <sz val="10"/>
      <color indexed="6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51"/>
      <name val="Arial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22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sz val="9"/>
      <color indexed="63"/>
      <name val="Inherit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8"/>
      <color indexed="51"/>
      <name val="Berlin Sans FB"/>
      <family val="0"/>
    </font>
    <font>
      <sz val="18"/>
      <color indexed="11"/>
      <name val="Berlin Sans FB"/>
      <family val="0"/>
    </font>
    <font>
      <sz val="9"/>
      <color indexed="8"/>
      <name val="Arial"/>
      <family val="0"/>
    </font>
    <font>
      <b/>
      <sz val="9"/>
      <color indexed="5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33333"/>
      <name val="Inherit"/>
      <family val="0"/>
    </font>
  </fonts>
  <fills count="4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dotted">
        <color rgb="FFB2B2B2"/>
      </left>
      <right>
        <color indexed="63"/>
      </right>
      <top style="medium">
        <color rgb="FFD0D0D0"/>
      </top>
      <bottom style="medium">
        <color rgb="FFD0D0D0"/>
      </bottom>
    </border>
    <border>
      <left>
        <color indexed="63"/>
      </left>
      <right>
        <color indexed="63"/>
      </right>
      <top style="medium">
        <color rgb="FFD0D0D0"/>
      </top>
      <bottom style="medium">
        <color rgb="FFD0D0D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9" fillId="2" borderId="0" applyNumberFormat="0" applyBorder="0" applyAlignment="0" applyProtection="0"/>
    <xf numFmtId="0" fontId="31" fillId="2" borderId="0" applyNumberFormat="0" applyBorder="0" applyAlignment="0" applyProtection="0"/>
    <xf numFmtId="0" fontId="59" fillId="3" borderId="0" applyNumberFormat="0" applyBorder="0" applyAlignment="0" applyProtection="0"/>
    <xf numFmtId="0" fontId="31" fillId="3" borderId="0" applyNumberFormat="0" applyBorder="0" applyAlignment="0" applyProtection="0"/>
    <xf numFmtId="0" fontId="59" fillId="4" borderId="0" applyNumberFormat="0" applyBorder="0" applyAlignment="0" applyProtection="0"/>
    <xf numFmtId="0" fontId="31" fillId="5" borderId="0" applyNumberFormat="0" applyBorder="0" applyAlignment="0" applyProtection="0"/>
    <xf numFmtId="0" fontId="59" fillId="2" borderId="0" applyNumberFormat="0" applyBorder="0" applyAlignment="0" applyProtection="0"/>
    <xf numFmtId="0" fontId="31" fillId="2" borderId="0" applyNumberFormat="0" applyBorder="0" applyAlignment="0" applyProtection="0"/>
    <xf numFmtId="0" fontId="59" fillId="6" borderId="0" applyNumberFormat="0" applyBorder="0" applyAlignment="0" applyProtection="0"/>
    <xf numFmtId="0" fontId="31" fillId="7" borderId="0" applyNumberFormat="0" applyBorder="0" applyAlignment="0" applyProtection="0"/>
    <xf numFmtId="0" fontId="59" fillId="8" borderId="0" applyNumberFormat="0" applyBorder="0" applyAlignment="0" applyProtection="0"/>
    <xf numFmtId="0" fontId="31" fillId="3" borderId="0" applyNumberFormat="0" applyBorder="0" applyAlignment="0" applyProtection="0"/>
    <xf numFmtId="0" fontId="59" fillId="9" borderId="0" applyNumberFormat="0" applyBorder="0" applyAlignment="0" applyProtection="0"/>
    <xf numFmtId="0" fontId="31" fillId="9" borderId="0" applyNumberFormat="0" applyBorder="0" applyAlignment="0" applyProtection="0"/>
    <xf numFmtId="0" fontId="59" fillId="10" borderId="0" applyNumberFormat="0" applyBorder="0" applyAlignment="0" applyProtection="0"/>
    <xf numFmtId="0" fontId="31" fillId="11" borderId="0" applyNumberFormat="0" applyBorder="0" applyAlignment="0" applyProtection="0"/>
    <xf numFmtId="0" fontId="59" fillId="4" borderId="0" applyNumberFormat="0" applyBorder="0" applyAlignment="0" applyProtection="0"/>
    <xf numFmtId="0" fontId="31" fillId="12" borderId="0" applyNumberFormat="0" applyBorder="0" applyAlignment="0" applyProtection="0"/>
    <xf numFmtId="0" fontId="59" fillId="9" borderId="0" applyNumberFormat="0" applyBorder="0" applyAlignment="0" applyProtection="0"/>
    <xf numFmtId="0" fontId="31" fillId="9" borderId="0" applyNumberFormat="0" applyBorder="0" applyAlignment="0" applyProtection="0"/>
    <xf numFmtId="0" fontId="59" fillId="13" borderId="0" applyNumberFormat="0" applyBorder="0" applyAlignment="0" applyProtection="0"/>
    <xf numFmtId="0" fontId="31" fillId="14" borderId="0" applyNumberFormat="0" applyBorder="0" applyAlignment="0" applyProtection="0"/>
    <xf numFmtId="0" fontId="59" fillId="3" borderId="0" applyNumberFormat="0" applyBorder="0" applyAlignment="0" applyProtection="0"/>
    <xf numFmtId="0" fontId="31" fillId="3" borderId="0" applyNumberFormat="0" applyBorder="0" applyAlignment="0" applyProtection="0"/>
    <xf numFmtId="0" fontId="60" fillId="15" borderId="0" applyNumberFormat="0" applyBorder="0" applyAlignment="0" applyProtection="0"/>
    <xf numFmtId="0" fontId="45" fillId="15" borderId="0" applyNumberFormat="0" applyBorder="0" applyAlignment="0" applyProtection="0"/>
    <xf numFmtId="0" fontId="60" fillId="16" borderId="0" applyNumberFormat="0" applyBorder="0" applyAlignment="0" applyProtection="0"/>
    <xf numFmtId="0" fontId="45" fillId="11" borderId="0" applyNumberFormat="0" applyBorder="0" applyAlignment="0" applyProtection="0"/>
    <xf numFmtId="0" fontId="60" fillId="4" borderId="0" applyNumberFormat="0" applyBorder="0" applyAlignment="0" applyProtection="0"/>
    <xf numFmtId="0" fontId="45" fillId="12" borderId="0" applyNumberFormat="0" applyBorder="0" applyAlignment="0" applyProtection="0"/>
    <xf numFmtId="0" fontId="60" fillId="9" borderId="0" applyNumberFormat="0" applyBorder="0" applyAlignment="0" applyProtection="0"/>
    <xf numFmtId="0" fontId="45" fillId="9" borderId="0" applyNumberFormat="0" applyBorder="0" applyAlignment="0" applyProtection="0"/>
    <xf numFmtId="0" fontId="60" fillId="17" borderId="0" applyNumberFormat="0" applyBorder="0" applyAlignment="0" applyProtection="0"/>
    <xf numFmtId="0" fontId="45" fillId="15" borderId="0" applyNumberFormat="0" applyBorder="0" applyAlignment="0" applyProtection="0"/>
    <xf numFmtId="0" fontId="60" fillId="3" borderId="0" applyNumberFormat="0" applyBorder="0" applyAlignment="0" applyProtection="0"/>
    <xf numFmtId="0" fontId="45" fillId="3" borderId="0" applyNumberFormat="0" applyBorder="0" applyAlignment="0" applyProtection="0"/>
    <xf numFmtId="0" fontId="60" fillId="15" borderId="0" applyNumberFormat="0" applyBorder="0" applyAlignment="0" applyProtection="0"/>
    <xf numFmtId="0" fontId="45" fillId="15" borderId="0" applyNumberFormat="0" applyBorder="0" applyAlignment="0" applyProtection="0"/>
    <xf numFmtId="0" fontId="60" fillId="18" borderId="0" applyNumberFormat="0" applyBorder="0" applyAlignment="0" applyProtection="0"/>
    <xf numFmtId="0" fontId="45" fillId="19" borderId="0" applyNumberFormat="0" applyBorder="0" applyAlignment="0" applyProtection="0"/>
    <xf numFmtId="0" fontId="60" fillId="20" borderId="0" applyNumberFormat="0" applyBorder="0" applyAlignment="0" applyProtection="0"/>
    <xf numFmtId="0" fontId="45" fillId="21" borderId="0" applyNumberFormat="0" applyBorder="0" applyAlignment="0" applyProtection="0"/>
    <xf numFmtId="0" fontId="60" fillId="22" borderId="0" applyNumberFormat="0" applyBorder="0" applyAlignment="0" applyProtection="0"/>
    <xf numFmtId="0" fontId="45" fillId="22" borderId="0" applyNumberFormat="0" applyBorder="0" applyAlignment="0" applyProtection="0"/>
    <xf numFmtId="0" fontId="60" fillId="23" borderId="0" applyNumberFormat="0" applyBorder="0" applyAlignment="0" applyProtection="0"/>
    <xf numFmtId="0" fontId="45" fillId="15" borderId="0" applyNumberFormat="0" applyBorder="0" applyAlignment="0" applyProtection="0"/>
    <xf numFmtId="0" fontId="60" fillId="24" borderId="0" applyNumberFormat="0" applyBorder="0" applyAlignment="0" applyProtection="0"/>
    <xf numFmtId="0" fontId="45" fillId="25" borderId="0" applyNumberFormat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62" fillId="2" borderId="1" applyNumberFormat="0" applyAlignment="0" applyProtection="0"/>
    <xf numFmtId="0" fontId="32" fillId="2" borderId="2" applyNumberFormat="0" applyAlignment="0" applyProtection="0"/>
    <xf numFmtId="0" fontId="63" fillId="28" borderId="3" applyNumberFormat="0" applyAlignment="0" applyProtection="0"/>
    <xf numFmtId="0" fontId="47" fillId="29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6" fillId="32" borderId="1" applyNumberFormat="0" applyAlignment="0" applyProtection="0"/>
    <xf numFmtId="0" fontId="38" fillId="3" borderId="2" applyNumberFormat="0" applyAlignment="0" applyProtection="0"/>
    <xf numFmtId="0" fontId="67" fillId="0" borderId="9" applyNumberFormat="0" applyFill="0" applyAlignment="0" applyProtection="0"/>
    <xf numFmtId="0" fontId="39" fillId="0" borderId="10" applyNumberFormat="0" applyFill="0" applyAlignment="0" applyProtection="0"/>
    <xf numFmtId="0" fontId="68" fillId="33" borderId="0" applyNumberFormat="0" applyBorder="0" applyAlignment="0" applyProtection="0"/>
    <xf numFmtId="0" fontId="40" fillId="12" borderId="0" applyNumberFormat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0" fillId="34" borderId="11" applyNumberFormat="0" applyFont="0" applyAlignment="0" applyProtection="0"/>
    <xf numFmtId="0" fontId="31" fillId="5" borderId="12" applyNumberFormat="0" applyFont="0" applyAlignment="0" applyProtection="0"/>
    <xf numFmtId="0" fontId="69" fillId="2" borderId="13" applyNumberFormat="0" applyAlignment="0" applyProtection="0"/>
    <xf numFmtId="0" fontId="41" fillId="2" borderId="14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28" fillId="0" borderId="15" applyNumberFormat="0" applyFill="0" applyAlignment="0" applyProtection="0"/>
    <xf numFmtId="0" fontId="7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8" fillId="0" borderId="0">
      <alignment/>
      <protection/>
    </xf>
  </cellStyleXfs>
  <cellXfs count="30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6" fillId="0" borderId="0" xfId="87" applyAlignment="1" applyProtection="1">
      <alignment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7" fontId="7" fillId="0" borderId="0" xfId="0" applyNumberFormat="1" applyFont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70" applyNumberFormat="1" applyFont="1" applyBorder="1" applyAlignment="1">
      <alignment/>
    </xf>
    <xf numFmtId="0" fontId="0" fillId="0" borderId="0" xfId="0" applyAlignment="1">
      <alignment horizontal="right"/>
    </xf>
    <xf numFmtId="14" fontId="7" fillId="0" borderId="0" xfId="0" applyNumberFormat="1" applyFont="1" applyFill="1" applyBorder="1" applyAlignment="1">
      <alignment/>
    </xf>
    <xf numFmtId="175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87" applyFon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37" fontId="0" fillId="0" borderId="17" xfId="0" applyNumberFormat="1" applyFont="1" applyBorder="1" applyAlignment="1">
      <alignment/>
    </xf>
    <xf numFmtId="0" fontId="7" fillId="0" borderId="0" xfId="70" applyNumberFormat="1" applyFont="1" applyBorder="1" applyAlignment="1">
      <alignment/>
    </xf>
    <xf numFmtId="0" fontId="7" fillId="0" borderId="0" xfId="0" applyFont="1" applyAlignment="1">
      <alignment/>
    </xf>
    <xf numFmtId="37" fontId="7" fillId="0" borderId="0" xfId="0" applyNumberFormat="1" applyFont="1" applyAlignment="1">
      <alignment/>
    </xf>
    <xf numFmtId="37" fontId="7" fillId="0" borderId="17" xfId="0" applyNumberFormat="1" applyFont="1" applyBorder="1" applyAlignment="1">
      <alignment/>
    </xf>
    <xf numFmtId="9" fontId="0" fillId="0" borderId="0" xfId="100" applyFont="1" applyFill="1" applyBorder="1" applyAlignment="1">
      <alignment/>
    </xf>
    <xf numFmtId="0" fontId="8" fillId="0" borderId="0" xfId="0" applyFont="1" applyAlignment="1">
      <alignment/>
    </xf>
    <xf numFmtId="172" fontId="7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4" fontId="0" fillId="0" borderId="0" xfId="0" applyNumberFormat="1" applyFill="1" applyBorder="1" applyAlignment="1">
      <alignment/>
    </xf>
    <xf numFmtId="10" fontId="0" fillId="0" borderId="0" xfId="10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7" fillId="0" borderId="0" xfId="0" applyNumberFormat="1" applyFont="1" applyFill="1" applyBorder="1" applyAlignment="1">
      <alignment/>
    </xf>
    <xf numFmtId="10" fontId="0" fillId="0" borderId="0" xfId="100" applyNumberFormat="1" applyFont="1" applyFill="1" applyBorder="1" applyAlignment="1">
      <alignment/>
    </xf>
    <xf numFmtId="176" fontId="0" fillId="0" borderId="0" xfId="0" applyNumberFormat="1" applyAlignment="1">
      <alignment/>
    </xf>
    <xf numFmtId="37" fontId="8" fillId="0" borderId="0" xfId="0" applyNumberFormat="1" applyFont="1" applyFill="1" applyBorder="1" applyAlignment="1">
      <alignment/>
    </xf>
    <xf numFmtId="172" fontId="0" fillId="0" borderId="0" xfId="0" applyNumberFormat="1" applyFont="1" applyAlignment="1">
      <alignment/>
    </xf>
    <xf numFmtId="37" fontId="0" fillId="0" borderId="0" xfId="0" applyNumberFormat="1" applyFont="1" applyFill="1" applyBorder="1" applyAlignment="1">
      <alignment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0" xfId="0" applyFill="1" applyBorder="1" applyAlignment="1">
      <alignment/>
    </xf>
    <xf numFmtId="3" fontId="7" fillId="0" borderId="0" xfId="70" applyNumberFormat="1" applyFont="1" applyFill="1" applyBorder="1" applyAlignment="1">
      <alignment/>
    </xf>
    <xf numFmtId="176" fontId="0" fillId="0" borderId="0" xfId="70" applyNumberFormat="1" applyFont="1" applyFill="1" applyBorder="1" applyAlignment="1">
      <alignment/>
    </xf>
    <xf numFmtId="3" fontId="0" fillId="0" borderId="0" xfId="70" applyNumberFormat="1" applyFont="1" applyFill="1" applyBorder="1" applyAlignment="1">
      <alignment/>
    </xf>
    <xf numFmtId="37" fontId="7" fillId="0" borderId="17" xfId="0" applyNumberFormat="1" applyFont="1" applyFill="1" applyBorder="1" applyAlignment="1">
      <alignment/>
    </xf>
    <xf numFmtId="37" fontId="0" fillId="0" borderId="17" xfId="0" applyNumberForma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72" fontId="0" fillId="36" borderId="18" xfId="0" applyNumberFormat="1" applyFill="1" applyBorder="1" applyAlignment="1" applyProtection="1">
      <alignment/>
      <protection locked="0"/>
    </xf>
    <xf numFmtId="37" fontId="0" fillId="36" borderId="18" xfId="0" applyNumberFormat="1" applyFill="1" applyBorder="1" applyAlignment="1" applyProtection="1">
      <alignment horizontal="center"/>
      <protection locked="0"/>
    </xf>
    <xf numFmtId="177" fontId="0" fillId="36" borderId="18" xfId="0" applyNumberForma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72" fontId="0" fillId="0" borderId="0" xfId="0" applyNumberForma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35" borderId="0" xfId="0" applyFont="1" applyFill="1" applyAlignment="1">
      <alignment/>
    </xf>
    <xf numFmtId="0" fontId="6" fillId="0" borderId="0" xfId="87" applyFont="1" applyAlignment="1" applyProtection="1">
      <alignment/>
      <protection/>
    </xf>
    <xf numFmtId="37" fontId="0" fillId="0" borderId="0" xfId="0" applyNumberFormat="1" applyAlignment="1">
      <alignment wrapText="1"/>
    </xf>
    <xf numFmtId="10" fontId="0" fillId="36" borderId="18" xfId="0" applyNumberFormat="1" applyFill="1" applyBorder="1" applyAlignment="1" applyProtection="1">
      <alignment horizontal="center"/>
      <protection locked="0"/>
    </xf>
    <xf numFmtId="173" fontId="0" fillId="0" borderId="0" xfId="0" applyNumberFormat="1" applyAlignment="1">
      <alignment/>
    </xf>
    <xf numFmtId="14" fontId="0" fillId="0" borderId="0" xfId="0" applyNumberFormat="1" applyBorder="1" applyAlignment="1">
      <alignment horizontal="right"/>
    </xf>
    <xf numFmtId="0" fontId="17" fillId="0" borderId="0" xfId="87" applyFont="1" applyAlignment="1" applyProtection="1">
      <alignment/>
      <protection/>
    </xf>
    <xf numFmtId="0" fontId="18" fillId="0" borderId="0" xfId="87" applyFont="1" applyBorder="1" applyAlignment="1" applyProtection="1">
      <alignment/>
      <protection/>
    </xf>
    <xf numFmtId="0" fontId="18" fillId="0" borderId="0" xfId="87" applyFont="1" applyAlignment="1" applyProtection="1">
      <alignment/>
      <protection/>
    </xf>
    <xf numFmtId="0" fontId="20" fillId="0" borderId="0" xfId="0" applyFont="1" applyAlignment="1">
      <alignment/>
    </xf>
    <xf numFmtId="37" fontId="20" fillId="0" borderId="0" xfId="0" applyNumberFormat="1" applyFont="1" applyFill="1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0" fillId="35" borderId="0" xfId="0" applyFont="1" applyFill="1" applyAlignment="1">
      <alignment horizontal="center" vertical="center"/>
    </xf>
    <xf numFmtId="0" fontId="9" fillId="35" borderId="0" xfId="0" applyFont="1" applyFill="1" applyAlignment="1">
      <alignment horizontal="center" vertical="center"/>
    </xf>
    <xf numFmtId="0" fontId="12" fillId="35" borderId="0" xfId="0" applyFont="1" applyFill="1" applyAlignment="1">
      <alignment/>
    </xf>
    <xf numFmtId="0" fontId="0" fillId="37" borderId="0" xfId="0" applyFill="1" applyAlignment="1">
      <alignment/>
    </xf>
    <xf numFmtId="0" fontId="4" fillId="35" borderId="0" xfId="0" applyFont="1" applyFill="1" applyAlignment="1">
      <alignment horizontal="left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left"/>
    </xf>
    <xf numFmtId="0" fontId="7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176" fontId="0" fillId="36" borderId="18" xfId="0" applyNumberForma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5" borderId="0" xfId="0" applyFont="1" applyFill="1" applyBorder="1" applyAlignment="1">
      <alignment horizontal="left"/>
    </xf>
    <xf numFmtId="0" fontId="7" fillId="35" borderId="0" xfId="0" applyFont="1" applyFill="1" applyBorder="1" applyAlignment="1" applyProtection="1">
      <alignment/>
      <protection locked="0"/>
    </xf>
    <xf numFmtId="0" fontId="1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87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/>
    </xf>
    <xf numFmtId="37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9" fontId="0" fillId="0" borderId="0" xfId="0" applyNumberFormat="1" applyFill="1" applyAlignment="1">
      <alignment/>
    </xf>
    <xf numFmtId="37" fontId="7" fillId="36" borderId="18" xfId="0" applyNumberFormat="1" applyFont="1" applyFill="1" applyBorder="1" applyAlignment="1" applyProtection="1">
      <alignment/>
      <protection locked="0"/>
    </xf>
    <xf numFmtId="3" fontId="7" fillId="36" borderId="18" xfId="70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>
      <alignment/>
    </xf>
    <xf numFmtId="9" fontId="2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176" fontId="0" fillId="36" borderId="18" xfId="0" applyNumberFormat="1" applyFont="1" applyFill="1" applyBorder="1" applyAlignment="1" applyProtection="1">
      <alignment/>
      <protection locked="0"/>
    </xf>
    <xf numFmtId="9" fontId="0" fillId="36" borderId="18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Border="1" applyAlignment="1" applyProtection="1">
      <alignment horizontal="center"/>
      <protection/>
    </xf>
    <xf numFmtId="37" fontId="0" fillId="0" borderId="0" xfId="0" applyNumberForma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37" fontId="0" fillId="0" borderId="19" xfId="0" applyNumberFormat="1" applyFill="1" applyBorder="1" applyAlignment="1" applyProtection="1">
      <alignment/>
      <protection/>
    </xf>
    <xf numFmtId="37" fontId="0" fillId="0" borderId="19" xfId="0" applyNumberFormat="1" applyFont="1" applyFill="1" applyBorder="1" applyAlignment="1" applyProtection="1">
      <alignment/>
      <protection/>
    </xf>
    <xf numFmtId="37" fontId="0" fillId="0" borderId="20" xfId="0" applyNumberFormat="1" applyFont="1" applyFill="1" applyBorder="1" applyAlignment="1" applyProtection="1">
      <alignment/>
      <protection/>
    </xf>
    <xf numFmtId="37" fontId="0" fillId="0" borderId="20" xfId="0" applyNumberFormat="1" applyFill="1" applyBorder="1" applyAlignment="1" applyProtection="1">
      <alignment/>
      <protection/>
    </xf>
    <xf numFmtId="37" fontId="0" fillId="0" borderId="21" xfId="0" applyNumberFormat="1" applyFont="1" applyFill="1" applyBorder="1" applyAlignment="1" applyProtection="1">
      <alignment/>
      <protection/>
    </xf>
    <xf numFmtId="37" fontId="0" fillId="0" borderId="21" xfId="0" applyNumberFormat="1" applyFill="1" applyBorder="1" applyAlignment="1" applyProtection="1">
      <alignment/>
      <protection/>
    </xf>
    <xf numFmtId="0" fontId="6" fillId="0" borderId="0" xfId="87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17" xfId="0" applyNumberFormat="1" applyBorder="1" applyAlignment="1" applyProtection="1">
      <alignment/>
      <protection/>
    </xf>
    <xf numFmtId="14" fontId="7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 applyProtection="1">
      <alignment horizontal="center"/>
      <protection/>
    </xf>
    <xf numFmtId="14" fontId="8" fillId="0" borderId="0" xfId="0" applyNumberFormat="1" applyFont="1" applyBorder="1" applyAlignment="1">
      <alignment horizontal="center"/>
    </xf>
    <xf numFmtId="175" fontId="8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0" fontId="0" fillId="35" borderId="0" xfId="0" applyNumberFormat="1" applyFill="1" applyBorder="1" applyAlignment="1">
      <alignment/>
    </xf>
    <xf numFmtId="0" fontId="0" fillId="35" borderId="0" xfId="0" applyFont="1" applyFill="1" applyBorder="1" applyAlignment="1" applyProtection="1">
      <alignment horizontal="right"/>
      <protection/>
    </xf>
    <xf numFmtId="176" fontId="0" fillId="35" borderId="0" xfId="0" applyNumberFormat="1" applyFill="1" applyBorder="1" applyAlignment="1">
      <alignment/>
    </xf>
    <xf numFmtId="4" fontId="0" fillId="35" borderId="0" xfId="0" applyNumberFormat="1" applyFill="1" applyBorder="1" applyAlignment="1">
      <alignment/>
    </xf>
    <xf numFmtId="2" fontId="0" fillId="35" borderId="0" xfId="0" applyNumberFormat="1" applyFill="1" applyBorder="1" applyAlignment="1">
      <alignment/>
    </xf>
    <xf numFmtId="176" fontId="4" fillId="38" borderId="22" xfId="0" applyNumberFormat="1" applyFont="1" applyFill="1" applyBorder="1" applyAlignment="1">
      <alignment/>
    </xf>
    <xf numFmtId="0" fontId="0" fillId="39" borderId="0" xfId="0" applyFill="1" applyAlignment="1">
      <alignment/>
    </xf>
    <xf numFmtId="176" fontId="4" fillId="38" borderId="18" xfId="0" applyNumberFormat="1" applyFont="1" applyFill="1" applyBorder="1" applyAlignment="1">
      <alignment horizontal="left"/>
    </xf>
    <xf numFmtId="176" fontId="4" fillId="38" borderId="23" xfId="0" applyNumberFormat="1" applyFont="1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4" fillId="35" borderId="25" xfId="0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27" xfId="0" applyFill="1" applyBorder="1" applyAlignment="1">
      <alignment/>
    </xf>
    <xf numFmtId="0" fontId="7" fillId="35" borderId="25" xfId="0" applyNumberFormat="1" applyFont="1" applyFill="1" applyBorder="1" applyAlignment="1">
      <alignment/>
    </xf>
    <xf numFmtId="10" fontId="0" fillId="35" borderId="0" xfId="0" applyNumberFormat="1" applyFill="1" applyBorder="1" applyAlignment="1">
      <alignment horizontal="right"/>
    </xf>
    <xf numFmtId="0" fontId="0" fillId="12" borderId="0" xfId="0" applyFill="1" applyAlignment="1">
      <alignment/>
    </xf>
    <xf numFmtId="0" fontId="0" fillId="12" borderId="0" xfId="0" applyFill="1" applyBorder="1" applyAlignment="1">
      <alignment/>
    </xf>
    <xf numFmtId="0" fontId="4" fillId="12" borderId="0" xfId="0" applyFont="1" applyFill="1" applyBorder="1" applyAlignment="1">
      <alignment/>
    </xf>
    <xf numFmtId="0" fontId="11" fillId="35" borderId="21" xfId="0" applyFont="1" applyFill="1" applyBorder="1" applyAlignment="1">
      <alignment/>
    </xf>
    <xf numFmtId="0" fontId="11" fillId="12" borderId="0" xfId="0" applyFont="1" applyFill="1" applyBorder="1" applyAlignment="1">
      <alignment/>
    </xf>
    <xf numFmtId="0" fontId="0" fillId="12" borderId="0" xfId="0" applyFill="1" applyBorder="1" applyAlignment="1" applyProtection="1">
      <alignment/>
      <protection/>
    </xf>
    <xf numFmtId="0" fontId="0" fillId="12" borderId="0" xfId="0" applyFont="1" applyFill="1" applyBorder="1" applyAlignment="1">
      <alignment horizontal="left"/>
    </xf>
    <xf numFmtId="0" fontId="0" fillId="12" borderId="21" xfId="0" applyFill="1" applyBorder="1" applyAlignment="1">
      <alignment/>
    </xf>
    <xf numFmtId="0" fontId="0" fillId="12" borderId="21" xfId="0" applyFill="1" applyBorder="1" applyAlignment="1">
      <alignment horizontal="left"/>
    </xf>
    <xf numFmtId="0" fontId="4" fillId="12" borderId="21" xfId="0" applyFont="1" applyFill="1" applyBorder="1" applyAlignment="1">
      <alignment/>
    </xf>
    <xf numFmtId="0" fontId="0" fillId="12" borderId="21" xfId="0" applyFill="1" applyBorder="1" applyAlignment="1">
      <alignment horizontal="center"/>
    </xf>
    <xf numFmtId="0" fontId="0" fillId="12" borderId="21" xfId="0" applyFill="1" applyBorder="1" applyAlignment="1" applyProtection="1">
      <alignment/>
      <protection/>
    </xf>
    <xf numFmtId="0" fontId="4" fillId="12" borderId="21" xfId="0" applyFont="1" applyFill="1" applyBorder="1" applyAlignment="1">
      <alignment horizontal="center"/>
    </xf>
    <xf numFmtId="0" fontId="19" fillId="12" borderId="0" xfId="87" applyFont="1" applyFill="1" applyBorder="1" applyAlignment="1" applyProtection="1">
      <alignment/>
      <protection/>
    </xf>
    <xf numFmtId="0" fontId="4" fillId="12" borderId="0" xfId="0" applyFont="1" applyFill="1" applyBorder="1" applyAlignment="1">
      <alignment horizontal="center"/>
    </xf>
    <xf numFmtId="0" fontId="0" fillId="12" borderId="0" xfId="0" applyFont="1" applyFill="1" applyBorder="1" applyAlignment="1">
      <alignment/>
    </xf>
    <xf numFmtId="0" fontId="0" fillId="12" borderId="21" xfId="0" applyFont="1" applyFill="1" applyBorder="1" applyAlignment="1">
      <alignment/>
    </xf>
    <xf numFmtId="0" fontId="0" fillId="11" borderId="0" xfId="0" applyFont="1" applyFill="1" applyAlignment="1">
      <alignment/>
    </xf>
    <xf numFmtId="0" fontId="19" fillId="12" borderId="0" xfId="87" applyFont="1" applyFill="1" applyAlignment="1" applyProtection="1">
      <alignment/>
      <protection/>
    </xf>
    <xf numFmtId="0" fontId="11" fillId="12" borderId="0" xfId="0" applyFont="1" applyFill="1" applyAlignment="1">
      <alignment/>
    </xf>
    <xf numFmtId="0" fontId="13" fillId="12" borderId="0" xfId="0" applyFont="1" applyFill="1" applyAlignment="1">
      <alignment/>
    </xf>
    <xf numFmtId="0" fontId="4" fillId="12" borderId="0" xfId="0" applyFont="1" applyFill="1" applyAlignment="1">
      <alignment/>
    </xf>
    <xf numFmtId="49" fontId="11" fillId="12" borderId="0" xfId="0" applyNumberFormat="1" applyFont="1" applyFill="1" applyBorder="1" applyAlignment="1">
      <alignment/>
    </xf>
    <xf numFmtId="0" fontId="14" fillId="12" borderId="0" xfId="0" applyFont="1" applyFill="1" applyBorder="1" applyAlignment="1">
      <alignment/>
    </xf>
    <xf numFmtId="0" fontId="13" fillId="12" borderId="0" xfId="0" applyFont="1" applyFill="1" applyBorder="1" applyAlignment="1">
      <alignment/>
    </xf>
    <xf numFmtId="0" fontId="7" fillId="12" borderId="0" xfId="0" applyFont="1" applyFill="1" applyBorder="1" applyAlignment="1">
      <alignment/>
    </xf>
    <xf numFmtId="0" fontId="7" fillId="12" borderId="21" xfId="0" applyFont="1" applyFill="1" applyBorder="1" applyAlignment="1">
      <alignment/>
    </xf>
    <xf numFmtId="0" fontId="4" fillId="38" borderId="19" xfId="0" applyFont="1" applyFill="1" applyBorder="1" applyAlignment="1">
      <alignment horizontal="left"/>
    </xf>
    <xf numFmtId="0" fontId="4" fillId="38" borderId="21" xfId="0" applyFont="1" applyFill="1" applyBorder="1" applyAlignment="1">
      <alignment horizontal="left"/>
    </xf>
    <xf numFmtId="0" fontId="4" fillId="38" borderId="28" xfId="0" applyFont="1" applyFill="1" applyBorder="1" applyAlignment="1">
      <alignment horizontal="left"/>
    </xf>
    <xf numFmtId="0" fontId="13" fillId="12" borderId="0" xfId="0" applyFont="1" applyFill="1" applyBorder="1" applyAlignment="1">
      <alignment horizontal="left"/>
    </xf>
    <xf numFmtId="0" fontId="13" fillId="12" borderId="0" xfId="0" applyFont="1" applyFill="1" applyBorder="1" applyAlignment="1">
      <alignment horizontal="right"/>
    </xf>
    <xf numFmtId="0" fontId="15" fillId="12" borderId="0" xfId="87" applyFont="1" applyFill="1" applyBorder="1" applyAlignment="1" applyProtection="1">
      <alignment/>
      <protection/>
    </xf>
    <xf numFmtId="0" fontId="6" fillId="12" borderId="0" xfId="87" applyFill="1" applyBorder="1" applyAlignment="1" applyProtection="1">
      <alignment/>
      <protection/>
    </xf>
    <xf numFmtId="0" fontId="6" fillId="12" borderId="21" xfId="87" applyFill="1" applyBorder="1" applyAlignment="1" applyProtection="1">
      <alignment/>
      <protection/>
    </xf>
    <xf numFmtId="14" fontId="13" fillId="12" borderId="0" xfId="0" applyNumberFormat="1" applyFont="1" applyFill="1" applyBorder="1" applyAlignment="1">
      <alignment/>
    </xf>
    <xf numFmtId="0" fontId="0" fillId="12" borderId="21" xfId="0" applyFill="1" applyBorder="1" applyAlignment="1">
      <alignment horizontal="right"/>
    </xf>
    <xf numFmtId="14" fontId="0" fillId="12" borderId="21" xfId="0" applyNumberFormat="1" applyFill="1" applyBorder="1" applyAlignment="1">
      <alignment/>
    </xf>
    <xf numFmtId="0" fontId="0" fillId="35" borderId="21" xfId="0" applyFill="1" applyBorder="1" applyAlignment="1">
      <alignment/>
    </xf>
    <xf numFmtId="0" fontId="12" fillId="12" borderId="0" xfId="0" applyFont="1" applyFill="1" applyBorder="1" applyAlignment="1">
      <alignment/>
    </xf>
    <xf numFmtId="0" fontId="19" fillId="12" borderId="29" xfId="87" applyFont="1" applyFill="1" applyBorder="1" applyAlignment="1" applyProtection="1">
      <alignment/>
      <protection/>
    </xf>
    <xf numFmtId="0" fontId="0" fillId="12" borderId="30" xfId="0" applyFill="1" applyBorder="1" applyAlignment="1">
      <alignment/>
    </xf>
    <xf numFmtId="0" fontId="0" fillId="12" borderId="31" xfId="0" applyFill="1" applyBorder="1" applyAlignment="1">
      <alignment/>
    </xf>
    <xf numFmtId="0" fontId="19" fillId="12" borderId="25" xfId="87" applyFont="1" applyFill="1" applyBorder="1" applyAlignment="1" applyProtection="1">
      <alignment/>
      <protection/>
    </xf>
    <xf numFmtId="0" fontId="0" fillId="12" borderId="24" xfId="0" applyFill="1" applyBorder="1" applyAlignment="1">
      <alignment/>
    </xf>
    <xf numFmtId="0" fontId="0" fillId="12" borderId="26" xfId="0" applyFill="1" applyBorder="1" applyAlignment="1">
      <alignment/>
    </xf>
    <xf numFmtId="0" fontId="0" fillId="12" borderId="16" xfId="0" applyFill="1" applyBorder="1" applyAlignment="1">
      <alignment/>
    </xf>
    <xf numFmtId="0" fontId="0" fillId="12" borderId="27" xfId="0" applyFill="1" applyBorder="1" applyAlignment="1">
      <alignment/>
    </xf>
    <xf numFmtId="0" fontId="0" fillId="0" borderId="0" xfId="0" applyAlignment="1" quotePrefix="1">
      <alignment/>
    </xf>
    <xf numFmtId="174" fontId="7" fillId="0" borderId="0" xfId="0" applyNumberFormat="1" applyFont="1" applyAlignment="1">
      <alignment/>
    </xf>
    <xf numFmtId="172" fontId="7" fillId="0" borderId="0" xfId="100" applyNumberFormat="1" applyFont="1" applyAlignment="1">
      <alignment/>
    </xf>
    <xf numFmtId="2" fontId="7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0" xfId="0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0" fontId="0" fillId="0" borderId="0" xfId="87" applyFont="1" applyAlignment="1" applyProtection="1">
      <alignment/>
      <protection/>
    </xf>
    <xf numFmtId="0" fontId="25" fillId="0" borderId="0" xfId="87" applyFont="1" applyFill="1" applyAlignment="1" applyProtection="1">
      <alignment/>
      <protection/>
    </xf>
    <xf numFmtId="0" fontId="24" fillId="0" borderId="0" xfId="0" applyFont="1" applyAlignment="1">
      <alignment/>
    </xf>
    <xf numFmtId="0" fontId="0" fillId="0" borderId="32" xfId="0" applyFont="1" applyBorder="1" applyAlignment="1">
      <alignment/>
    </xf>
    <xf numFmtId="0" fontId="7" fillId="0" borderId="32" xfId="0" applyFont="1" applyBorder="1" applyAlignment="1">
      <alignment/>
    </xf>
    <xf numFmtId="0" fontId="0" fillId="0" borderId="32" xfId="0" applyBorder="1" applyAlignment="1">
      <alignment/>
    </xf>
    <xf numFmtId="0" fontId="26" fillId="0" borderId="32" xfId="0" applyFont="1" applyBorder="1" applyAlignment="1">
      <alignment/>
    </xf>
    <xf numFmtId="0" fontId="17" fillId="0" borderId="0" xfId="87" applyFont="1" applyAlignment="1" applyProtection="1" quotePrefix="1">
      <alignment/>
      <protection/>
    </xf>
    <xf numFmtId="0" fontId="6" fillId="12" borderId="21" xfId="87" applyFill="1" applyBorder="1" applyAlignment="1" applyProtection="1">
      <alignment horizontal="left"/>
      <protection/>
    </xf>
    <xf numFmtId="0" fontId="11" fillId="12" borderId="0" xfId="87" applyFont="1" applyFill="1" applyBorder="1" applyAlignment="1" applyProtection="1">
      <alignment/>
      <protection/>
    </xf>
    <xf numFmtId="0" fontId="4" fillId="0" borderId="0" xfId="87" applyFont="1" applyAlignment="1" applyProtection="1">
      <alignment/>
      <protection/>
    </xf>
    <xf numFmtId="0" fontId="5" fillId="0" borderId="0" xfId="87" applyFont="1" applyAlignment="1" applyProtection="1">
      <alignment/>
      <protection/>
    </xf>
    <xf numFmtId="0" fontId="0" fillId="0" borderId="0" xfId="87" applyFont="1" applyAlignment="1" applyProtection="1">
      <alignment/>
      <protection/>
    </xf>
    <xf numFmtId="0" fontId="0" fillId="0" borderId="0" xfId="87" applyFont="1" applyBorder="1" applyAlignment="1" applyProtection="1">
      <alignment/>
      <protection/>
    </xf>
    <xf numFmtId="0" fontId="0" fillId="0" borderId="0" xfId="87" applyFont="1" applyAlignment="1" applyProtection="1" quotePrefix="1">
      <alignment/>
      <protection/>
    </xf>
    <xf numFmtId="178" fontId="7" fillId="0" borderId="0" xfId="0" applyNumberFormat="1" applyFont="1" applyFill="1" applyBorder="1" applyAlignment="1">
      <alignment/>
    </xf>
    <xf numFmtId="172" fontId="0" fillId="0" borderId="0" xfId="100" applyNumberFormat="1" applyFont="1" applyAlignment="1">
      <alignment/>
    </xf>
    <xf numFmtId="172" fontId="0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0" fontId="17" fillId="0" borderId="32" xfId="87" applyFont="1" applyBorder="1" applyAlignment="1" applyProtection="1">
      <alignment shrinkToFit="1"/>
      <protection/>
    </xf>
    <xf numFmtId="0" fontId="0" fillId="35" borderId="0" xfId="0" applyFill="1" applyAlignment="1">
      <alignment horizontal="center"/>
    </xf>
    <xf numFmtId="0" fontId="17" fillId="35" borderId="0" xfId="87" applyFont="1" applyFill="1" applyAlignment="1" applyProtection="1">
      <alignment/>
      <protection/>
    </xf>
    <xf numFmtId="0" fontId="0" fillId="35" borderId="0" xfId="0" applyFill="1" applyAlignment="1" quotePrefix="1">
      <alignment horizontal="left"/>
    </xf>
    <xf numFmtId="10" fontId="0" fillId="0" borderId="0" xfId="100" applyNumberFormat="1" applyFont="1" applyFill="1" applyBorder="1" applyAlignment="1" quotePrefix="1">
      <alignment/>
    </xf>
    <xf numFmtId="10" fontId="0" fillId="37" borderId="0" xfId="0" applyNumberFormat="1" applyFill="1" applyAlignment="1">
      <alignment/>
    </xf>
    <xf numFmtId="2" fontId="4" fillId="35" borderId="0" xfId="0" applyNumberFormat="1" applyFont="1" applyFill="1" applyAlignment="1">
      <alignment/>
    </xf>
    <xf numFmtId="10" fontId="4" fillId="35" borderId="0" xfId="0" applyNumberFormat="1" applyFont="1" applyFill="1" applyAlignment="1">
      <alignment horizontal="center"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179" fontId="0" fillId="36" borderId="18" xfId="0" applyNumberFormat="1" applyFill="1" applyBorder="1" applyAlignment="1" applyProtection="1">
      <alignment horizontal="center"/>
      <protection locked="0"/>
    </xf>
    <xf numFmtId="172" fontId="7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37" fontId="7" fillId="36" borderId="18" xfId="70" applyNumberFormat="1" applyFont="1" applyFill="1" applyBorder="1" applyAlignment="1" applyProtection="1">
      <alignment/>
      <protection locked="0"/>
    </xf>
    <xf numFmtId="183" fontId="7" fillId="36" borderId="33" xfId="0" applyNumberFormat="1" applyFont="1" applyFill="1" applyBorder="1" applyAlignment="1" applyProtection="1">
      <alignment horizontal="center"/>
      <protection locked="0"/>
    </xf>
    <xf numFmtId="183" fontId="0" fillId="0" borderId="16" xfId="0" applyNumberFormat="1" applyBorder="1" applyAlignment="1" applyProtection="1">
      <alignment horizontal="center"/>
      <protection/>
    </xf>
    <xf numFmtId="183" fontId="7" fillId="0" borderId="16" xfId="0" applyNumberFormat="1" applyFont="1" applyBorder="1" applyAlignment="1">
      <alignment horizontal="center"/>
    </xf>
    <xf numFmtId="183" fontId="0" fillId="0" borderId="16" xfId="0" applyNumberFormat="1" applyBorder="1" applyAlignment="1">
      <alignment horizontal="center"/>
    </xf>
    <xf numFmtId="183" fontId="7" fillId="0" borderId="0" xfId="0" applyNumberFormat="1" applyFont="1" applyBorder="1" applyAlignment="1">
      <alignment horizontal="center"/>
    </xf>
    <xf numFmtId="183" fontId="0" fillId="0" borderId="16" xfId="0" applyNumberFormat="1" applyFont="1" applyBorder="1" applyAlignment="1">
      <alignment horizontal="center"/>
    </xf>
    <xf numFmtId="183" fontId="0" fillId="0" borderId="16" xfId="0" applyNumberFormat="1" applyFont="1" applyBorder="1" applyAlignment="1" applyProtection="1">
      <alignment horizontal="center"/>
      <protection/>
    </xf>
    <xf numFmtId="183" fontId="0" fillId="36" borderId="18" xfId="0" applyNumberFormat="1" applyFill="1" applyBorder="1" applyAlignment="1" applyProtection="1">
      <alignment horizontal="center"/>
      <protection locked="0"/>
    </xf>
    <xf numFmtId="183" fontId="0" fillId="0" borderId="16" xfId="0" applyNumberFormat="1" applyFill="1" applyBorder="1" applyAlignment="1">
      <alignment horizontal="center"/>
    </xf>
    <xf numFmtId="183" fontId="0" fillId="35" borderId="0" xfId="0" applyNumberFormat="1" applyFill="1" applyBorder="1" applyAlignment="1">
      <alignment horizontal="right"/>
    </xf>
    <xf numFmtId="183" fontId="0" fillId="35" borderId="0" xfId="0" applyNumberFormat="1" applyFill="1" applyBorder="1" applyAlignment="1">
      <alignment/>
    </xf>
    <xf numFmtId="0" fontId="44" fillId="37" borderId="0" xfId="0" applyFont="1" applyFill="1" applyAlignment="1">
      <alignment/>
    </xf>
    <xf numFmtId="0" fontId="59" fillId="36" borderId="0" xfId="95" applyFill="1">
      <alignment/>
      <protection/>
    </xf>
    <xf numFmtId="3" fontId="59" fillId="36" borderId="0" xfId="95" applyNumberFormat="1" applyFill="1">
      <alignment/>
      <protection/>
    </xf>
    <xf numFmtId="184" fontId="59" fillId="36" borderId="0" xfId="95" applyNumberFormat="1" applyFill="1">
      <alignment/>
      <protection/>
    </xf>
    <xf numFmtId="37" fontId="59" fillId="36" borderId="0" xfId="95" applyNumberFormat="1" applyFill="1">
      <alignment/>
      <protection/>
    </xf>
    <xf numFmtId="37" fontId="59" fillId="36" borderId="0" xfId="95" applyNumberFormat="1" applyFill="1" applyAlignment="1">
      <alignment wrapText="1"/>
      <protection/>
    </xf>
    <xf numFmtId="0" fontId="72" fillId="40" borderId="34" xfId="0" applyFont="1" applyFill="1" applyBorder="1" applyAlignment="1">
      <alignment horizontal="center" vertical="center" wrapText="1"/>
    </xf>
    <xf numFmtId="0" fontId="16" fillId="41" borderId="35" xfId="0" applyFont="1" applyFill="1" applyBorder="1" applyAlignment="1">
      <alignment horizontal="right" vertical="center" wrapText="1"/>
    </xf>
    <xf numFmtId="0" fontId="16" fillId="41" borderId="34" xfId="0" applyFont="1" applyFill="1" applyBorder="1" applyAlignment="1">
      <alignment horizontal="right" vertical="center" wrapText="1"/>
    </xf>
    <xf numFmtId="0" fontId="72" fillId="41" borderId="34" xfId="0" applyFont="1" applyFill="1" applyBorder="1" applyAlignment="1">
      <alignment horizontal="right" vertical="center" wrapText="1"/>
    </xf>
    <xf numFmtId="37" fontId="59" fillId="41" borderId="0" xfId="95" applyNumberFormat="1" applyFill="1">
      <alignment/>
      <protection/>
    </xf>
    <xf numFmtId="37" fontId="59" fillId="41" borderId="0" xfId="95" applyNumberFormat="1" applyFont="1" applyFill="1">
      <alignment/>
      <protection/>
    </xf>
    <xf numFmtId="0" fontId="0" fillId="41" borderId="0" xfId="0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4" fillId="35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6" fillId="35" borderId="0" xfId="87" applyFill="1" applyAlignment="1" applyProtection="1">
      <alignment horizontal="left"/>
      <protection/>
    </xf>
    <xf numFmtId="0" fontId="6" fillId="0" borderId="0" xfId="87" applyAlignment="1" applyProtection="1">
      <alignment horizontal="left"/>
      <protection/>
    </xf>
    <xf numFmtId="0" fontId="6" fillId="35" borderId="0" xfId="87" applyFill="1" applyAlignment="1" applyProtection="1">
      <alignment/>
      <protection/>
    </xf>
    <xf numFmtId="0" fontId="6" fillId="0" borderId="0" xfId="87" applyAlignment="1" applyProtection="1">
      <alignment/>
      <protection/>
    </xf>
    <xf numFmtId="0" fontId="16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12" fillId="35" borderId="0" xfId="0" applyFont="1" applyFill="1" applyAlignment="1">
      <alignment horizontal="center"/>
    </xf>
    <xf numFmtId="37" fontId="7" fillId="36" borderId="36" xfId="0" applyNumberFormat="1" applyFont="1" applyFill="1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12" borderId="0" xfId="0" applyFill="1" applyBorder="1" applyAlignment="1">
      <alignment wrapText="1"/>
    </xf>
    <xf numFmtId="0" fontId="0" fillId="0" borderId="0" xfId="0" applyAlignment="1">
      <alignment wrapText="1"/>
    </xf>
    <xf numFmtId="2" fontId="30" fillId="12" borderId="20" xfId="0" applyNumberFormat="1" applyFont="1" applyFill="1" applyBorder="1" applyAlignment="1">
      <alignment wrapText="1"/>
    </xf>
    <xf numFmtId="2" fontId="30" fillId="12" borderId="0" xfId="0" applyNumberFormat="1" applyFont="1" applyFill="1" applyBorder="1" applyAlignment="1">
      <alignment wrapText="1"/>
    </xf>
    <xf numFmtId="2" fontId="30" fillId="12" borderId="0" xfId="0" applyNumberFormat="1" applyFont="1" applyFill="1" applyAlignment="1">
      <alignment wrapText="1"/>
    </xf>
    <xf numFmtId="0" fontId="17" fillId="0" borderId="0" xfId="87" applyFont="1" applyAlignment="1" applyProtection="1">
      <alignment/>
      <protection/>
    </xf>
    <xf numFmtId="0" fontId="4" fillId="0" borderId="0" xfId="0" applyFont="1" applyAlignment="1">
      <alignment/>
    </xf>
    <xf numFmtId="0" fontId="4" fillId="12" borderId="0" xfId="0" applyFon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4" fillId="35" borderId="0" xfId="87" applyFont="1" applyFill="1" applyAlignment="1" applyProtection="1">
      <alignment/>
      <protection/>
    </xf>
    <xf numFmtId="0" fontId="4" fillId="35" borderId="0" xfId="0" applyFont="1" applyFill="1" applyAlignment="1">
      <alignment/>
    </xf>
    <xf numFmtId="0" fontId="19" fillId="12" borderId="0" xfId="87" applyFont="1" applyFill="1" applyBorder="1" applyAlignment="1" applyProtection="1">
      <alignment/>
      <protection/>
    </xf>
    <xf numFmtId="0" fontId="19" fillId="12" borderId="0" xfId="0" applyFont="1" applyFill="1" applyBorder="1" applyAlignment="1">
      <alignment/>
    </xf>
    <xf numFmtId="0" fontId="11" fillId="12" borderId="21" xfId="0" applyFont="1" applyFill="1" applyBorder="1" applyAlignment="1">
      <alignment/>
    </xf>
    <xf numFmtId="0" fontId="0" fillId="12" borderId="21" xfId="0" applyFill="1" applyBorder="1" applyAlignment="1">
      <alignment/>
    </xf>
    <xf numFmtId="0" fontId="6" fillId="0" borderId="0" xfId="87" applyFill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95">
    <cellStyle name="Normal" xfId="0"/>
    <cellStyle name="&#10;bidires=100&#10;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1 2" xfId="41"/>
    <cellStyle name="60% - Accent2" xfId="42"/>
    <cellStyle name="60% - Accent2 2" xfId="43"/>
    <cellStyle name="60% - Accent3" xfId="44"/>
    <cellStyle name="60% - Accent3 2" xfId="45"/>
    <cellStyle name="60% - Accent4" xfId="46"/>
    <cellStyle name="60% - Accent4 2" xfId="47"/>
    <cellStyle name="60% - Accent5" xfId="48"/>
    <cellStyle name="60% - Accent5 2" xfId="49"/>
    <cellStyle name="60% - Accent6" xfId="50"/>
    <cellStyle name="60% - Accent6 2" xfId="51"/>
    <cellStyle name="Accent1" xfId="52"/>
    <cellStyle name="Accent1 2" xfId="53"/>
    <cellStyle name="Accent2" xfId="54"/>
    <cellStyle name="Accent2 2" xfId="55"/>
    <cellStyle name="Accent3" xfId="56"/>
    <cellStyle name="Accent3 2" xfId="57"/>
    <cellStyle name="Accent4" xfId="58"/>
    <cellStyle name="Accent4 2" xfId="59"/>
    <cellStyle name="Accent5" xfId="60"/>
    <cellStyle name="Accent5 2" xfId="61"/>
    <cellStyle name="Accent6" xfId="62"/>
    <cellStyle name="Accent6 2" xfId="63"/>
    <cellStyle name="Bad" xfId="64"/>
    <cellStyle name="Bad 2" xfId="65"/>
    <cellStyle name="Calculation" xfId="66"/>
    <cellStyle name="Calculation 2" xfId="67"/>
    <cellStyle name="Check Cell" xfId="68"/>
    <cellStyle name="Check Cell 2" xfId="69"/>
    <cellStyle name="Comma" xfId="70"/>
    <cellStyle name="Comma [0]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3" xfId="95"/>
    <cellStyle name="Note" xfId="96"/>
    <cellStyle name="Note 2" xfId="97"/>
    <cellStyle name="Output" xfId="98"/>
    <cellStyle name="Output 2" xfId="99"/>
    <cellStyle name="Percent" xfId="100"/>
    <cellStyle name="Style 1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  <cellStyle name="Обычный_RTS_select_issues" xfId="108"/>
  </cellStyles>
  <dxfs count="9">
    <dxf>
      <fill>
        <patternFill patternType="solid"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114300</xdr:rowOff>
    </xdr:from>
    <xdr:to>
      <xdr:col>12</xdr:col>
      <xdr:colOff>66675</xdr:colOff>
      <xdr:row>18</xdr:row>
      <xdr:rowOff>9525</xdr:rowOff>
    </xdr:to>
    <xdr:pic>
      <xdr:nvPicPr>
        <xdr:cNvPr id="1" name="Picture 54" descr="eVal_blac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00"/>
          <a:ext cx="6934200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17</xdr:row>
      <xdr:rowOff>0</xdr:rowOff>
    </xdr:from>
    <xdr:to>
      <xdr:col>7</xdr:col>
      <xdr:colOff>219075</xdr:colOff>
      <xdr:row>18</xdr:row>
      <xdr:rowOff>38100</xdr:rowOff>
    </xdr:to>
    <xdr:sp>
      <xdr:nvSpPr>
        <xdr:cNvPr id="2" name="Text Box 38"/>
        <xdr:cNvSpPr txBox="1">
          <a:spLocks noChangeArrowheads="1"/>
        </xdr:cNvSpPr>
      </xdr:nvSpPr>
      <xdr:spPr>
        <a:xfrm>
          <a:off x="1981200" y="3076575"/>
          <a:ext cx="2371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2012, Russell Lundholm and Richard Sloan.</a:t>
          </a:r>
        </a:p>
      </xdr:txBody>
    </xdr:sp>
    <xdr:clientData/>
  </xdr:twoCellAnchor>
  <xdr:twoCellAnchor>
    <xdr:from>
      <xdr:col>7</xdr:col>
      <xdr:colOff>180975</xdr:colOff>
      <xdr:row>12</xdr:row>
      <xdr:rowOff>76200</xdr:rowOff>
    </xdr:from>
    <xdr:to>
      <xdr:col>10</xdr:col>
      <xdr:colOff>190500</xdr:colOff>
      <xdr:row>13</xdr:row>
      <xdr:rowOff>47625</xdr:rowOff>
    </xdr:to>
    <xdr:sp>
      <xdr:nvSpPr>
        <xdr:cNvPr id="3" name="Text Box 34"/>
        <xdr:cNvSpPr txBox="1">
          <a:spLocks noChangeArrowheads="1"/>
        </xdr:cNvSpPr>
      </xdr:nvSpPr>
      <xdr:spPr>
        <a:xfrm>
          <a:off x="4314825" y="2333625"/>
          <a:ext cx="17811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version 4.00</a:t>
          </a:r>
        </a:p>
      </xdr:txBody>
    </xdr:sp>
    <xdr:clientData/>
  </xdr:twoCellAnchor>
  <xdr:twoCellAnchor>
    <xdr:from>
      <xdr:col>0</xdr:col>
      <xdr:colOff>57150</xdr:colOff>
      <xdr:row>14</xdr:row>
      <xdr:rowOff>142875</xdr:rowOff>
    </xdr:from>
    <xdr:to>
      <xdr:col>10</xdr:col>
      <xdr:colOff>466725</xdr:colOff>
      <xdr:row>16</xdr:row>
      <xdr:rowOff>114300</xdr:rowOff>
    </xdr:to>
    <xdr:sp>
      <xdr:nvSpPr>
        <xdr:cNvPr id="4" name="Rectangle 57"/>
        <xdr:cNvSpPr>
          <a:spLocks/>
        </xdr:cNvSpPr>
      </xdr:nvSpPr>
      <xdr:spPr>
        <a:xfrm>
          <a:off x="57150" y="2647950"/>
          <a:ext cx="6315075" cy="352425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152400</xdr:rowOff>
    </xdr:from>
    <xdr:to>
      <xdr:col>5</xdr:col>
      <xdr:colOff>314325</xdr:colOff>
      <xdr:row>16</xdr:row>
      <xdr:rowOff>76200</xdr:rowOff>
    </xdr:to>
    <xdr:sp>
      <xdr:nvSpPr>
        <xdr:cNvPr id="5" name="Text Box 55"/>
        <xdr:cNvSpPr txBox="1">
          <a:spLocks noChangeArrowheads="1"/>
        </xdr:cNvSpPr>
      </xdr:nvSpPr>
      <xdr:spPr>
        <a:xfrm>
          <a:off x="1247775" y="2657475"/>
          <a:ext cx="2019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800" b="0" i="0" u="none" baseline="0">
              <a:solidFill>
                <a:srgbClr val="FFCC00"/>
              </a:solidFill>
            </a:rPr>
            <a:t>Russell Lundholm</a:t>
          </a:r>
        </a:p>
      </xdr:txBody>
    </xdr:sp>
    <xdr:clientData/>
  </xdr:twoCellAnchor>
  <xdr:twoCellAnchor>
    <xdr:from>
      <xdr:col>6</xdr:col>
      <xdr:colOff>66675</xdr:colOff>
      <xdr:row>14</xdr:row>
      <xdr:rowOff>152400</xdr:rowOff>
    </xdr:from>
    <xdr:to>
      <xdr:col>9</xdr:col>
      <xdr:colOff>85725</xdr:colOff>
      <xdr:row>16</xdr:row>
      <xdr:rowOff>76200</xdr:rowOff>
    </xdr:to>
    <xdr:sp>
      <xdr:nvSpPr>
        <xdr:cNvPr id="6" name="Text Box 56"/>
        <xdr:cNvSpPr txBox="1">
          <a:spLocks noChangeArrowheads="1"/>
        </xdr:cNvSpPr>
      </xdr:nvSpPr>
      <xdr:spPr>
        <a:xfrm>
          <a:off x="3609975" y="2657475"/>
          <a:ext cx="1790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800" b="0" i="0" u="none" baseline="0">
              <a:solidFill>
                <a:srgbClr val="1FB714"/>
              </a:solidFill>
            </a:rPr>
            <a:t>Richard Sloan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17</xdr:row>
      <xdr:rowOff>152400</xdr:rowOff>
    </xdr:from>
    <xdr:to>
      <xdr:col>5</xdr:col>
      <xdr:colOff>523875</xdr:colOff>
      <xdr:row>20</xdr:row>
      <xdr:rowOff>123825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3829050" y="2867025"/>
          <a:ext cx="3362325" cy="4286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Although not a necessary input for </a:t>
          </a:r>
          <a:r>
            <a:rPr lang="en-US" cap="none" sz="9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eVal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we recommend that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you find the analyst forecasts for your company and store them in the yellow-shaded cells for comparison purposes.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azon.com/s/ref=nb_sb_noss?url=search-alias%3Dstripbooks&amp;field-keywords=lundholm%2C+sloan&amp;x=0&amp;y=0&amp;ih=13_2_0_0_0_0_0_0_0_1.80_382&amp;fsc=-1" TargetMode="External" /><Relationship Id="rId2" Type="http://schemas.openxmlformats.org/officeDocument/2006/relationships/hyperlink" Target="http://www.lundholmandsloan.com/case_materials.html" TargetMode="External" /><Relationship Id="rId3" Type="http://schemas.openxmlformats.org/officeDocument/2006/relationships/hyperlink" Target="http://www.lundholmandsloan.com/software.html" TargetMode="External" /><Relationship Id="rId4" Type="http://schemas.openxmlformats.org/officeDocument/2006/relationships/hyperlink" Target="http://www.amazon.com/s/ref=nb_sb_noss?url=search-alias%3Dstripbooks&amp;field-keywords=lundholm%2C+sloan&amp;x=0&amp;y=0&amp;ih=13_2_0_0_0_0_0_0_0_1.80_382&amp;fsc=-1" TargetMode="External" /><Relationship Id="rId5" Type="http://schemas.openxmlformats.org/officeDocument/2006/relationships/hyperlink" Target="http://www.amazon.com/s/ref=nb_sb_noss?url=search-alias%3Dstripbooks&amp;field-keywords=lundholm%2C+sloan&amp;x=0&amp;y=0&amp;ih=13_2_0_0_0_0_0_0_0_1.80_382&amp;fsc=-1" TargetMode="External" /><Relationship Id="rId6" Type="http://schemas.openxmlformats.org/officeDocument/2006/relationships/hyperlink" Target="http://www.amazon.com/s/ref=nb_sb_noss?url=search-alias%3Dstripbooks&amp;field-keywords=lundholm%2C+sloan&amp;x=0&amp;y=0&amp;ih=13_2_0_0_0_0_0_0_0_1.80_382&amp;fsc=-1" TargetMode="External" /><Relationship Id="rId7" Type="http://schemas.openxmlformats.org/officeDocument/2006/relationships/hyperlink" Target="http://www.amazon.com/s/ref=nb_sb_noss?url=search-alias%3Dstripbooks&amp;field-keywords=lundholm%2C+sloan&amp;x=0&amp;y=0&amp;ih=13_2_0_0_0_0_0_0_0_1.80_382&amp;fsc=-1" TargetMode="External" /><Relationship Id="rId8" Type="http://schemas.openxmlformats.org/officeDocument/2006/relationships/hyperlink" Target="http://www.amazon.com/s/ref=nb_sb_noss?url=search-alias%3Dstripbooks&amp;field-keywords=lundholm%2C+sloan&amp;x=0&amp;y=0&amp;ih=13_2_0_0_0_0_0_0_0_1.80_382&amp;fsc=-1" TargetMode="External" /><Relationship Id="rId9" Type="http://schemas.openxmlformats.org/officeDocument/2006/relationships/hyperlink" Target="http://www.amazon.com/s/ref=nb_sb_noss?url=search-alias%3Dstripbooks&amp;field-keywords=lundholm%2C+sloan&amp;x=0&amp;y=0&amp;ih=13_2_0_0_0_0_0_0_0_1.80_382&amp;fsc=-1" TargetMode="External" /><Relationship Id="rId10" Type="http://schemas.openxmlformats.org/officeDocument/2006/relationships/hyperlink" Target="http://www.lundholmandsloan.com/case_materials.html" TargetMode="External" /><Relationship Id="rId11" Type="http://schemas.openxmlformats.org/officeDocument/2006/relationships/hyperlink" Target="http://www.lundholmandsloan.com/case_materials.html" TargetMode="External" /><Relationship Id="rId12" Type="http://schemas.openxmlformats.org/officeDocument/2006/relationships/hyperlink" Target="http://www.lundholmandsloan.com/case_materials.html" TargetMode="External" /><Relationship Id="rId13" Type="http://schemas.openxmlformats.org/officeDocument/2006/relationships/hyperlink" Target="http://www.lundholmandsloan.com/case_materials.html" TargetMode="External" /><Relationship Id="rId14" Type="http://schemas.openxmlformats.org/officeDocument/2006/relationships/hyperlink" Target="http://www.lundholmandsloan.com/case_materials.html" TargetMode="External" /><Relationship Id="rId15" Type="http://schemas.openxmlformats.org/officeDocument/2006/relationships/hyperlink" Target="http://www.lundholmandsloan.com/case_materials.html" TargetMode="External" /><Relationship Id="rId16" Type="http://schemas.openxmlformats.org/officeDocument/2006/relationships/hyperlink" Target="http://www.lundholmandsloan.com/software.html" TargetMode="External" /><Relationship Id="rId17" Type="http://schemas.openxmlformats.org/officeDocument/2006/relationships/hyperlink" Target="http://www.lundholmandsloan.com/software.html" TargetMode="External" /><Relationship Id="rId18" Type="http://schemas.openxmlformats.org/officeDocument/2006/relationships/hyperlink" Target="http://www.lundholmandsloan.com/software.html" TargetMode="External" /><Relationship Id="rId19" Type="http://schemas.openxmlformats.org/officeDocument/2006/relationships/hyperlink" Target="http://www.lundholmandsloan.com/software.html" TargetMode="External" /><Relationship Id="rId20" Type="http://schemas.openxmlformats.org/officeDocument/2006/relationships/hyperlink" Target="http://www.lundholmandsloan.com/software.html" TargetMode="External" /><Relationship Id="rId21" Type="http://schemas.openxmlformats.org/officeDocument/2006/relationships/hyperlink" Target="http://www.lundholmandsloan.com/software.html" TargetMode="External" /><Relationship Id="rId22" Type="http://schemas.openxmlformats.org/officeDocument/2006/relationships/hyperlink" Target="http://www.lundholmandsloan.com/index.html" TargetMode="External" /><Relationship Id="rId23" Type="http://schemas.openxmlformats.org/officeDocument/2006/relationships/hyperlink" Target="http://www.lundholmandsloan.com/case_materials.html" TargetMode="External" /><Relationship Id="rId24" Type="http://schemas.openxmlformats.org/officeDocument/2006/relationships/hyperlink" Target="http://www.amazon.com/s/ref=nb_sb_noss?url=search-alias%3Dstripbooks&amp;field-keywords=lundholm%2C+sloan&amp;x=0&amp;y=0&amp;ih=13_2_0_0_0_0_0_0_0_1.80_382&amp;fsc=-1" TargetMode="External" /><Relationship Id="rId25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="125" zoomScaleNormal="125" workbookViewId="0" topLeftCell="A1">
      <selection activeCell="C1" sqref="C1"/>
    </sheetView>
  </sheetViews>
  <sheetFormatPr defaultColWidth="8.8515625" defaultRowHeight="15" customHeight="1"/>
  <cols>
    <col min="1" max="16384" width="8.8515625" style="82" customWidth="1"/>
  </cols>
  <sheetData>
    <row r="1" spans="1:11" ht="1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5" customHeight="1">
      <c r="A2" s="85"/>
      <c r="B2" s="85"/>
      <c r="C2" s="85"/>
      <c r="D2" s="85"/>
      <c r="E2" s="85"/>
      <c r="F2" s="86"/>
      <c r="G2" s="84"/>
      <c r="H2" s="84"/>
      <c r="I2" s="84"/>
      <c r="J2" s="84"/>
      <c r="K2" s="84"/>
    </row>
    <row r="3" spans="1:11" ht="1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15" customHeight="1">
      <c r="A4" s="84"/>
      <c r="B4" s="84"/>
      <c r="C4" s="84"/>
      <c r="D4" s="84"/>
      <c r="E4" s="84"/>
      <c r="F4" s="87"/>
      <c r="G4" s="84"/>
      <c r="H4" s="84"/>
      <c r="I4" s="84"/>
      <c r="J4" s="84"/>
      <c r="K4" s="84"/>
    </row>
    <row r="5" spans="1:11" ht="1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1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5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15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ht="12.7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1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ht="15" customHeight="1">
      <c r="A12" s="84"/>
      <c r="B12" s="84"/>
      <c r="C12" s="84"/>
      <c r="D12" s="277"/>
      <c r="E12" s="278"/>
      <c r="F12" s="278"/>
      <c r="G12" s="278"/>
      <c r="H12" s="278"/>
      <c r="I12" s="84"/>
      <c r="J12" s="84"/>
      <c r="K12" s="84"/>
    </row>
    <row r="13" spans="1:11" ht="15" customHeight="1">
      <c r="A13" s="84"/>
      <c r="B13" s="84"/>
      <c r="C13" s="84"/>
      <c r="D13" s="283"/>
      <c r="E13" s="284"/>
      <c r="F13" s="284"/>
      <c r="G13" s="284"/>
      <c r="H13" s="284"/>
      <c r="I13" s="84"/>
      <c r="J13" s="84"/>
      <c r="K13" s="84"/>
    </row>
    <row r="14" spans="1:11" ht="4.5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</row>
    <row r="15" spans="1:11" s="83" customFormat="1" ht="15" customHeight="1">
      <c r="A15" s="49"/>
      <c r="B15" s="88"/>
      <c r="C15" s="88"/>
      <c r="D15" s="285"/>
      <c r="E15" s="285"/>
      <c r="F15" s="285"/>
      <c r="G15" s="285"/>
      <c r="H15" s="285"/>
      <c r="I15" s="88"/>
      <c r="J15" s="88"/>
      <c r="K15" s="88"/>
    </row>
    <row r="16" spans="1:11" s="83" customFormat="1" ht="15" customHeight="1">
      <c r="A16" s="49"/>
      <c r="B16" s="49"/>
      <c r="C16" s="70"/>
      <c r="D16" s="70"/>
      <c r="E16" s="70"/>
      <c r="F16" s="70"/>
      <c r="G16" s="70"/>
      <c r="H16" s="70"/>
      <c r="I16" s="70"/>
      <c r="J16" s="70"/>
      <c r="K16" s="70"/>
    </row>
    <row r="17" spans="1:11" s="83" customFormat="1" ht="15" customHeight="1">
      <c r="A17" s="49"/>
      <c r="B17" s="49"/>
      <c r="C17" s="70"/>
      <c r="D17" s="70"/>
      <c r="E17" s="70"/>
      <c r="F17" s="70"/>
      <c r="G17" s="70"/>
      <c r="H17" s="70"/>
      <c r="I17" s="70"/>
      <c r="J17" s="70"/>
      <c r="K17" s="70"/>
    </row>
    <row r="18" spans="1:11" s="83" customFormat="1" ht="15" customHeight="1">
      <c r="A18" s="49"/>
      <c r="B18" s="49"/>
      <c r="C18" s="70"/>
      <c r="D18" s="70"/>
      <c r="E18" s="70"/>
      <c r="F18" s="70"/>
      <c r="G18" s="70"/>
      <c r="H18" s="70"/>
      <c r="I18" s="70"/>
      <c r="J18" s="70"/>
      <c r="K18" s="70"/>
    </row>
    <row r="19" spans="1:11" s="83" customFormat="1" ht="15" customHeight="1">
      <c r="A19" s="49" t="s">
        <v>20</v>
      </c>
      <c r="B19" s="49"/>
      <c r="C19" s="70"/>
      <c r="D19" s="70"/>
      <c r="E19" s="70"/>
      <c r="F19" s="70"/>
      <c r="G19" s="70"/>
      <c r="H19" s="70"/>
      <c r="I19" s="70"/>
      <c r="J19" s="70"/>
      <c r="K19" s="70"/>
    </row>
    <row r="20" spans="1:11" ht="15" customHeight="1">
      <c r="A20" s="85" t="s">
        <v>82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</row>
    <row r="21" spans="1:11" ht="15" customHeight="1">
      <c r="A21" s="85" t="s">
        <v>83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</row>
    <row r="22" spans="1:11" ht="15" customHeight="1">
      <c r="A22" s="85" t="s">
        <v>323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</row>
    <row r="23" spans="1:11" ht="15" customHeight="1">
      <c r="A23" s="85" t="s">
        <v>84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</row>
    <row r="24" spans="1:11" ht="15" customHeight="1">
      <c r="A24" s="85" t="s">
        <v>132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</row>
    <row r="28" spans="1:9" ht="15" customHeight="1">
      <c r="A28" s="263" t="s">
        <v>166</v>
      </c>
      <c r="C28" s="279" t="s">
        <v>51</v>
      </c>
      <c r="D28" s="280"/>
      <c r="E28" s="280"/>
      <c r="F28" s="280"/>
      <c r="G28" s="280"/>
      <c r="H28" s="280"/>
      <c r="I28" s="280"/>
    </row>
    <row r="29" spans="3:9" ht="15" customHeight="1">
      <c r="C29" s="281" t="s">
        <v>167</v>
      </c>
      <c r="D29" s="282"/>
      <c r="E29" s="282"/>
      <c r="F29" s="282"/>
      <c r="G29" s="282"/>
      <c r="H29" s="282"/>
      <c r="I29" s="282"/>
    </row>
    <row r="30" spans="3:9" ht="15" customHeight="1">
      <c r="C30" s="281" t="s">
        <v>50</v>
      </c>
      <c r="D30" s="282"/>
      <c r="E30" s="282"/>
      <c r="F30" s="282"/>
      <c r="G30" s="282"/>
      <c r="H30" s="282"/>
      <c r="I30" s="282"/>
    </row>
  </sheetData>
  <sheetProtection/>
  <mergeCells count="6">
    <mergeCell ref="D12:H12"/>
    <mergeCell ref="C28:I28"/>
    <mergeCell ref="C30:I30"/>
    <mergeCell ref="C29:I29"/>
    <mergeCell ref="D13:H13"/>
    <mergeCell ref="D15:H15"/>
  </mergeCells>
  <hyperlinks>
    <hyperlink ref="C28" r:id="rId1" display="where to buy the latest &quot;Equity Valuation and Analysis' textbook"/>
    <hyperlink ref="C30" r:id="rId2" display="Supplements to the textbook cases"/>
    <hyperlink ref="C29" r:id="rId3" display="Check here for updated versions of eVal"/>
    <hyperlink ref="D28" r:id="rId4" display="where to buy the latest &quot;Equity Valuation and Analysis' textbook"/>
    <hyperlink ref="E28" r:id="rId5" display="where to buy the latest &quot;Equity Valuation and Analysis' textbook"/>
    <hyperlink ref="F28" r:id="rId6" display="where to buy the latest &quot;Equity Valuation and Analysis' textbook"/>
    <hyperlink ref="G28" r:id="rId7" display="where to buy the latest &quot;Equity Valuation and Analysis' textbook"/>
    <hyperlink ref="H28" r:id="rId8" display="where to buy the latest &quot;Equity Valuation and Analysis' textbook"/>
    <hyperlink ref="I28" r:id="rId9" display="where to buy the latest &quot;Equity Valuation and Analysis' textbook"/>
    <hyperlink ref="D30" r:id="rId10" display="http://www.lundholmandsloan.com/case_materials.html"/>
    <hyperlink ref="E30" r:id="rId11" display="http://www.lundholmandsloan.com/case_materials.html"/>
    <hyperlink ref="F30" r:id="rId12" display="http://www.lundholmandsloan.com/case_materials.html"/>
    <hyperlink ref="G30" r:id="rId13" display="http://www.lundholmandsloan.com/case_materials.html"/>
    <hyperlink ref="H30" r:id="rId14" display="http://www.lundholmandsloan.com/case_materials.html"/>
    <hyperlink ref="I30" r:id="rId15" display="http://www.lundholmandsloan.com/case_materials.html"/>
    <hyperlink ref="D29" r:id="rId16" display="http://www.lundholmandsloan.com/software.html"/>
    <hyperlink ref="E29" r:id="rId17" display="http://www.lundholmandsloan.com/software.html"/>
    <hyperlink ref="F29" r:id="rId18" display="http://www.lundholmandsloan.com/software.html"/>
    <hyperlink ref="G29" r:id="rId19" display="http://www.lundholmandsloan.com/software.html"/>
    <hyperlink ref="H29" r:id="rId20" display="http://www.lundholmandsloan.com/software.html"/>
    <hyperlink ref="I29" r:id="rId21" display="http://www.lundholmandsloan.com/software.html"/>
    <hyperlink ref="C29:I29" r:id="rId22" display="Check here for updated versions of eVal"/>
    <hyperlink ref="C30:I30" r:id="rId23" display="Supplements to the textbook cases"/>
    <hyperlink ref="C28:I28" r:id="rId24" display="Where to buy the latest 'Equity Valuation and Analysis' textbook"/>
  </hyperlinks>
  <printOptions/>
  <pageMargins left="0.75" right="0.75" top="1" bottom="1" header="0.5" footer="0.5"/>
  <pageSetup orientation="portrait"/>
  <drawing r:id="rId2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zoomScale="125" zoomScaleNormal="125" workbookViewId="0" topLeftCell="A1">
      <pane xSplit="1" ySplit="10" topLeftCell="C1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1" sqref="E1"/>
    </sheetView>
  </sheetViews>
  <sheetFormatPr defaultColWidth="8.8515625" defaultRowHeight="12.75"/>
  <cols>
    <col min="1" max="1" width="37.140625" style="89" customWidth="1"/>
    <col min="2" max="26" width="15.7109375" style="89" customWidth="1"/>
    <col min="27" max="16384" width="8.8515625" style="89" customWidth="1"/>
  </cols>
  <sheetData>
    <row r="1" spans="1:26" s="101" customFormat="1" ht="16.5">
      <c r="A1" s="170" t="s">
        <v>409</v>
      </c>
      <c r="B1" s="196" t="s">
        <v>61</v>
      </c>
      <c r="C1" s="170"/>
      <c r="D1" s="170"/>
      <c r="E1" s="181"/>
      <c r="F1" s="181"/>
      <c r="G1" s="189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</row>
    <row r="2" spans="1:26" s="101" customFormat="1" ht="16.5">
      <c r="A2" s="170"/>
      <c r="B2" s="158"/>
      <c r="C2" s="170"/>
      <c r="D2" s="170"/>
      <c r="E2" s="181"/>
      <c r="F2" s="181"/>
      <c r="G2" s="189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26" s="58" customFormat="1" ht="12">
      <c r="A3" s="164"/>
      <c r="B3" s="164"/>
      <c r="C3" s="164"/>
      <c r="D3" s="164"/>
      <c r="E3" s="164"/>
      <c r="F3" s="164"/>
      <c r="G3" s="191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</row>
    <row r="4" spans="1:18" s="51" customFormat="1" ht="12">
      <c r="A4" s="102" t="s">
        <v>310</v>
      </c>
      <c r="B4" s="103" t="str">
        <f>'Financial Statements'!B4</f>
        <v>KOHL'S  </v>
      </c>
      <c r="C4" s="102"/>
      <c r="D4" s="102"/>
      <c r="E4" s="97"/>
      <c r="F4" s="97"/>
      <c r="G4" s="97"/>
      <c r="H4" s="97"/>
      <c r="I4" s="104"/>
      <c r="J4" s="97"/>
      <c r="K4" s="97"/>
      <c r="L4" s="97"/>
      <c r="M4" s="97"/>
      <c r="N4" s="97"/>
      <c r="O4" s="97"/>
      <c r="P4" s="97"/>
      <c r="Q4" s="97"/>
      <c r="R4" s="97"/>
    </row>
    <row r="5" spans="1:4" s="51" customFormat="1" ht="12">
      <c r="A5" s="102" t="s">
        <v>205</v>
      </c>
      <c r="B5" s="52">
        <f>'Financial Statements'!B5</f>
        <v>7154</v>
      </c>
      <c r="C5" s="102"/>
      <c r="D5" s="102"/>
    </row>
    <row r="6" spans="1:4" s="51" customFormat="1" ht="12">
      <c r="A6" s="102" t="s">
        <v>206</v>
      </c>
      <c r="B6" s="54">
        <f>B5*'Valuation Parameters'!J12</f>
        <v>7154</v>
      </c>
      <c r="C6" s="102"/>
      <c r="D6" s="102"/>
    </row>
    <row r="7" spans="1:4" s="51" customFormat="1" ht="12">
      <c r="A7" s="102" t="s">
        <v>207</v>
      </c>
      <c r="B7" s="53">
        <f>'Residual Income Valuations'!B27</f>
        <v>83704.27083698496</v>
      </c>
      <c r="C7" s="102"/>
      <c r="D7" s="102"/>
    </row>
    <row r="8" spans="1:4" s="51" customFormat="1" ht="12">
      <c r="A8" s="102"/>
      <c r="C8" s="102"/>
      <c r="D8" s="102"/>
    </row>
    <row r="9" spans="1:26" s="51" customFormat="1" ht="12">
      <c r="A9" s="102"/>
      <c r="B9" s="105" t="s">
        <v>412</v>
      </c>
      <c r="C9" s="105" t="s">
        <v>412</v>
      </c>
      <c r="D9" s="105" t="s">
        <v>412</v>
      </c>
      <c r="E9" s="105" t="s">
        <v>412</v>
      </c>
      <c r="F9" s="105" t="s">
        <v>412</v>
      </c>
      <c r="G9" s="105" t="s">
        <v>412</v>
      </c>
      <c r="H9" s="105" t="s">
        <v>412</v>
      </c>
      <c r="I9" s="105" t="s">
        <v>412</v>
      </c>
      <c r="J9" s="105" t="s">
        <v>412</v>
      </c>
      <c r="K9" s="105" t="s">
        <v>412</v>
      </c>
      <c r="L9" s="105" t="s">
        <v>412</v>
      </c>
      <c r="M9" s="105" t="s">
        <v>412</v>
      </c>
      <c r="N9"/>
      <c r="O9"/>
      <c r="P9"/>
      <c r="Q9"/>
      <c r="R9"/>
      <c r="S9"/>
      <c r="T9"/>
      <c r="U9"/>
      <c r="V9"/>
      <c r="W9"/>
      <c r="X9"/>
      <c r="Y9"/>
      <c r="Z9"/>
    </row>
    <row r="10" spans="1:26" s="58" customFormat="1" ht="12.75" thickBot="1">
      <c r="A10" s="106" t="s">
        <v>407</v>
      </c>
      <c r="B10" s="260">
        <f>'Financial Statements'!G8</f>
        <v>41274</v>
      </c>
      <c r="C10" s="260">
        <f>'Financial Statements'!H8</f>
        <v>41639</v>
      </c>
      <c r="D10" s="260">
        <f>'Financial Statements'!I8</f>
        <v>42004</v>
      </c>
      <c r="E10" s="260">
        <f>'Financial Statements'!J8</f>
        <v>42369</v>
      </c>
      <c r="F10" s="260">
        <f>'Financial Statements'!K8</f>
        <v>42735</v>
      </c>
      <c r="G10" s="260">
        <f>'Financial Statements'!L8</f>
        <v>43100</v>
      </c>
      <c r="H10" s="260">
        <f>'Financial Statements'!M8</f>
        <v>43465</v>
      </c>
      <c r="I10" s="260">
        <f>'Financial Statements'!N8</f>
        <v>43830</v>
      </c>
      <c r="J10" s="260">
        <f>'Financial Statements'!O8</f>
        <v>44196</v>
      </c>
      <c r="K10" s="260">
        <f>'Financial Statements'!P8</f>
        <v>44561</v>
      </c>
      <c r="L10" s="260">
        <f>'Financial Statements'!Q8</f>
        <v>44926</v>
      </c>
      <c r="M10" s="260">
        <f>'Financial Statements'!R8</f>
        <v>45291</v>
      </c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s="58" customFormat="1" ht="12">
      <c r="A11" s="58" t="s">
        <v>152</v>
      </c>
      <c r="B11" s="107">
        <f>'Financial Statements'!G29</f>
        <v>39987275.5589974</v>
      </c>
      <c r="C11" s="107">
        <f>'Financial Statements'!H29</f>
        <v>40513830.65353651</v>
      </c>
      <c r="D11" s="107">
        <f>'Financial Statements'!I29</f>
        <v>41122958.29091566</v>
      </c>
      <c r="E11" s="107">
        <f>'Financial Statements'!J29</f>
        <v>41818020.25170161</v>
      </c>
      <c r="F11" s="107">
        <f>'Financial Statements'!K29</f>
        <v>42602903.8992687</v>
      </c>
      <c r="G11" s="107">
        <f>'Financial Statements'!L29</f>
        <v>43482058.131247886</v>
      </c>
      <c r="H11" s="107">
        <f>'Financial Statements'!M29</f>
        <v>44460535.046266995</v>
      </c>
      <c r="I11" s="107">
        <f>'Financial Statements'!N29</f>
        <v>45544037.8679884</v>
      </c>
      <c r="J11" s="107">
        <f>'Financial Statements'!O29</f>
        <v>46738975.7573622</v>
      </c>
      <c r="K11" s="107">
        <f>'Financial Statements'!P29</f>
        <v>48052526.24352086</v>
      </c>
      <c r="L11" s="107">
        <f>'Financial Statements'!Q29</f>
        <v>49492706.11565374</v>
      </c>
      <c r="M11" s="107">
        <f>'Financial Statements'!R29</f>
        <v>50977487.29912336</v>
      </c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s="58" customFormat="1" ht="12">
      <c r="A12" s="58" t="s">
        <v>156</v>
      </c>
      <c r="B12" s="42">
        <f>'Cash Flow Analysis'!F39</f>
        <v>-52252036.261607096</v>
      </c>
      <c r="C12" s="42">
        <f>'Cash Flow Analysis'!G39</f>
        <v>-40440514.877090886</v>
      </c>
      <c r="D12" s="42">
        <f>'Cash Flow Analysis'!H39</f>
        <v>-41038166.780153245</v>
      </c>
      <c r="E12" s="42">
        <f>'Cash Flow Analysis'!I39</f>
        <v>-41721284.954209596</v>
      </c>
      <c r="F12" s="42">
        <f>'Cash Flow Analysis'!J39</f>
        <v>-42493683.69067362</v>
      </c>
      <c r="G12" s="42">
        <f>'Cash Flow Analysis'!K39</f>
        <v>-43359733.809867084</v>
      </c>
      <c r="H12" s="42">
        <f>'Cash Flow Analysis'!L39</f>
        <v>-44324403.53287551</v>
      </c>
      <c r="I12" s="42">
        <f>'Cash Flow Analysis'!M39</f>
        <v>-45393305.5352388</v>
      </c>
      <c r="J12" s="42">
        <f>'Cash Flow Analysis'!N39</f>
        <v>-46572750.801024556</v>
      </c>
      <c r="K12" s="42">
        <f>'Cash Flow Analysis'!O39</f>
        <v>-47869809.99386591</v>
      </c>
      <c r="L12" s="42">
        <f>'Cash Flow Analysis'!P39</f>
        <v>-49292383.17172778</v>
      </c>
      <c r="M12" s="42">
        <f>'Cash Flow Analysis'!Q39</f>
        <v>-50771154.666879594</v>
      </c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s="58" customFormat="1" ht="12">
      <c r="A13" s="78" t="s">
        <v>252</v>
      </c>
      <c r="B13" s="108">
        <f>B7*(1+'Valuation Parameters'!J9*(DAYS360('Residual Income Valuations'!B6,'Residual Income Valuations'!B10)/360))+('Financial Statements'!G64/'EPS Forecaster'!B6)*(DAYS360('Residual Income Valuations'!B6,'Residual Income Valuations'!B10)/360)</f>
        <v>88145.24742861389</v>
      </c>
      <c r="C13" s="108">
        <f>(B13*(1+'Valuation Parameters'!J9))+('Financial Statements'!H64/'EPS Forecaster'!B15)</f>
        <v>96959.77217147528</v>
      </c>
      <c r="D13" s="108">
        <f>(C13*(1+'Valuation Parameters'!J9))+('Financial Statements'!I64/'EPS Forecaster'!C15)</f>
        <v>106655.74938862282</v>
      </c>
      <c r="E13" s="108">
        <f>(D13*(1+'Valuation Parameters'!J9))+('Financial Statements'!J64/'EPS Forecaster'!D15)</f>
        <v>117321.32432748511</v>
      </c>
      <c r="F13" s="108">
        <f>(E13*(1+'Valuation Parameters'!J9))+('Financial Statements'!K64/'EPS Forecaster'!E15)</f>
        <v>129053.45676023363</v>
      </c>
      <c r="G13" s="108">
        <f>(F13*(1+'Valuation Parameters'!J9))+('Financial Statements'!L64/'EPS Forecaster'!F15)</f>
        <v>141958.802436257</v>
      </c>
      <c r="H13" s="108">
        <f>(G13*(1+'Valuation Parameters'!J9))+('Financial Statements'!M64/'EPS Forecaster'!G15)</f>
        <v>156154.68267988274</v>
      </c>
      <c r="I13" s="108">
        <f>(H13*(1+'Valuation Parameters'!J9))+('Financial Statements'!N64/'EPS Forecaster'!H15)</f>
        <v>171770.15094787104</v>
      </c>
      <c r="J13" s="108">
        <f>(I13*(1+'Valuation Parameters'!$J$9))+('Financial Statements'!O64/'EPS Forecaster'!I15)</f>
        <v>188947.16604265815</v>
      </c>
      <c r="K13" s="108">
        <f>(J13*(1+'Valuation Parameters'!$J$9))+('Financial Statements'!P64/'EPS Forecaster'!J15)</f>
        <v>207841.88264692397</v>
      </c>
      <c r="L13" s="108">
        <f>(K13*(1+'Valuation Parameters'!$J$9))+('Financial Statements'!Q64/'EPS Forecaster'!K15)</f>
        <v>228626.07091161638</v>
      </c>
      <c r="M13" s="108">
        <f>(L13*(1+'Valuation Parameters'!$J$9))+('Financial Statements'!R64/'EPS Forecaster'!L15)</f>
        <v>251488.67800277803</v>
      </c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s="58" customFormat="1" ht="12">
      <c r="A14" s="58" t="s">
        <v>23</v>
      </c>
      <c r="B14" s="107">
        <f>B12/B13</f>
        <v>-592.7947085737595</v>
      </c>
      <c r="C14" s="107">
        <f aca="true" t="shared" si="0" ref="C14:M14">C12/C13</f>
        <v>-417.08549815454427</v>
      </c>
      <c r="D14" s="107">
        <f t="shared" si="0"/>
        <v>-384.7721947986319</v>
      </c>
      <c r="E14" s="107">
        <f t="shared" si="0"/>
        <v>-355.6155301976545</v>
      </c>
      <c r="F14" s="107">
        <f t="shared" si="0"/>
        <v>-329.27195254925994</v>
      </c>
      <c r="G14" s="107">
        <f t="shared" si="0"/>
        <v>-305.4388531442893</v>
      </c>
      <c r="H14" s="107">
        <f t="shared" si="0"/>
        <v>-283.84933946387366</v>
      </c>
      <c r="I14" s="107">
        <f t="shared" si="0"/>
        <v>-264.2677163916262</v>
      </c>
      <c r="J14" s="107">
        <f t="shared" si="0"/>
        <v>-246.48557465270443</v>
      </c>
      <c r="K14" s="107">
        <f t="shared" si="0"/>
        <v>-230.31840062373672</v>
      </c>
      <c r="L14" s="107">
        <f t="shared" si="0"/>
        <v>-215.60263435915635</v>
      </c>
      <c r="M14" s="107">
        <f t="shared" si="0"/>
        <v>-201.88246671811905</v>
      </c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s="58" customFormat="1" ht="12">
      <c r="A15" s="58" t="s">
        <v>24</v>
      </c>
      <c r="B15" s="107">
        <f>B6+B14</f>
        <v>6561.20529142624</v>
      </c>
      <c r="C15" s="107">
        <f>B15+C14</f>
        <v>6144.119793271696</v>
      </c>
      <c r="D15" s="107">
        <f aca="true" t="shared" si="1" ref="D15:M15">C15+D14</f>
        <v>5759.347598473064</v>
      </c>
      <c r="E15" s="107">
        <f t="shared" si="1"/>
        <v>5403.73206827541</v>
      </c>
      <c r="F15" s="107">
        <f t="shared" si="1"/>
        <v>5074.4601157261495</v>
      </c>
      <c r="G15" s="107">
        <f t="shared" si="1"/>
        <v>4769.02126258186</v>
      </c>
      <c r="H15" s="107">
        <f t="shared" si="1"/>
        <v>4485.171923117987</v>
      </c>
      <c r="I15" s="107">
        <f t="shared" si="1"/>
        <v>4220.904206726361</v>
      </c>
      <c r="J15" s="107">
        <f t="shared" si="1"/>
        <v>3974.418632073656</v>
      </c>
      <c r="K15" s="107">
        <f t="shared" si="1"/>
        <v>3744.1002314499196</v>
      </c>
      <c r="L15" s="107">
        <f t="shared" si="1"/>
        <v>3528.4975970907635</v>
      </c>
      <c r="M15" s="107">
        <f t="shared" si="1"/>
        <v>3326.6151303726447</v>
      </c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s="58" customFormat="1" ht="12">
      <c r="A16" s="58" t="s">
        <v>342</v>
      </c>
      <c r="B16" s="108">
        <f>B11/((B6+B15)/2)</f>
        <v>5831.0866967473785</v>
      </c>
      <c r="C16" s="108">
        <f>C11/((B15+C15)/2)</f>
        <v>6377.456756668216</v>
      </c>
      <c r="D16" s="108">
        <f aca="true" t="shared" si="2" ref="D16:M16">D11/((C15+D15)/2)</f>
        <v>6909.4083156702845</v>
      </c>
      <c r="E16" s="108">
        <f t="shared" si="2"/>
        <v>7492.2013458822075</v>
      </c>
      <c r="F16" s="108">
        <f t="shared" si="2"/>
        <v>8131.727907093779</v>
      </c>
      <c r="G16" s="108">
        <f t="shared" si="2"/>
        <v>8834.69099196325</v>
      </c>
      <c r="H16" s="108">
        <f t="shared" si="2"/>
        <v>9608.732853117908</v>
      </c>
      <c r="I16" s="108">
        <f t="shared" si="2"/>
        <v>10462.586632309329</v>
      </c>
      <c r="J16" s="108">
        <f t="shared" si="2"/>
        <v>11406.256147977658</v>
      </c>
      <c r="K16" s="108">
        <f t="shared" si="2"/>
        <v>12451.229852040406</v>
      </c>
      <c r="L16" s="108">
        <f t="shared" si="2"/>
        <v>13610.736433526925</v>
      </c>
      <c r="M16" s="108">
        <f t="shared" si="2"/>
        <v>14872.837056316803</v>
      </c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s="58" customFormat="1" ht="12">
      <c r="A17" s="117" t="s">
        <v>241</v>
      </c>
      <c r="B17" s="118"/>
      <c r="C17" s="118"/>
      <c r="D17" s="95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</row>
    <row r="18" spans="1:2" s="58" customFormat="1" ht="12">
      <c r="A18" s="109"/>
      <c r="B18" s="107"/>
    </row>
    <row r="19" spans="1:2" s="58" customFormat="1" ht="12" customHeight="1">
      <c r="A19" s="109" t="s">
        <v>255</v>
      </c>
      <c r="B19" s="110">
        <f>(G16/B16)^(1/5)-1</f>
        <v>0.08664671908109556</v>
      </c>
    </row>
    <row r="20" spans="1:2" s="58" customFormat="1" ht="12" customHeight="1">
      <c r="A20" s="116" t="s">
        <v>385</v>
      </c>
      <c r="B20" s="119"/>
    </row>
    <row r="21" s="58" customFormat="1" ht="12" customHeight="1">
      <c r="B21" s="110"/>
    </row>
    <row r="22" spans="1:2" s="113" customFormat="1" ht="12" customHeight="1">
      <c r="A22" s="115"/>
      <c r="B22" s="114"/>
    </row>
    <row r="23" spans="2:7" s="113" customFormat="1" ht="12" customHeight="1">
      <c r="B23" s="114"/>
      <c r="C23" s="303" t="str">
        <f>HYPERLINK(CONCATENATE("http://biz.yahoo.com/z/a/",LEFT(TRIM('Financial Statements'!D4),1),"/",TRIM('Financial Statements'!D4),".html"),"To obtain analyst forecasts, click here")</f>
        <v>To obtain analyst forecasts, click here</v>
      </c>
      <c r="D23" s="304"/>
      <c r="E23" s="220"/>
      <c r="F23" s="220"/>
      <c r="G23" s="220"/>
    </row>
    <row r="24" spans="1:3" s="58" customFormat="1" ht="12" customHeight="1">
      <c r="A24" s="109"/>
      <c r="B24" s="110"/>
      <c r="C24" s="219"/>
    </row>
    <row r="25" spans="1:2" s="58" customFormat="1" ht="12" customHeight="1">
      <c r="A25" s="109"/>
      <c r="B25" s="110"/>
    </row>
    <row r="26" spans="1:2" s="58" customFormat="1" ht="12" customHeight="1">
      <c r="A26" s="109"/>
      <c r="B26" s="110"/>
    </row>
    <row r="27" spans="1:2" s="58" customFormat="1" ht="12" customHeight="1">
      <c r="A27" s="109"/>
      <c r="B27" s="110"/>
    </row>
    <row r="28" spans="1:2" s="58" customFormat="1" ht="12" customHeight="1">
      <c r="A28" s="109"/>
      <c r="B28" s="110"/>
    </row>
    <row r="29" spans="1:2" s="58" customFormat="1" ht="12" customHeight="1">
      <c r="A29" s="109"/>
      <c r="B29" s="110"/>
    </row>
    <row r="30" spans="1:2" s="58" customFormat="1" ht="12" customHeight="1">
      <c r="A30" s="109"/>
      <c r="B30" s="110"/>
    </row>
    <row r="31" spans="1:2" s="58" customFormat="1" ht="12" customHeight="1">
      <c r="A31" s="109"/>
      <c r="B31" s="110"/>
    </row>
    <row r="32" spans="1:2" s="58" customFormat="1" ht="12" customHeight="1">
      <c r="A32" s="109"/>
      <c r="B32" s="110"/>
    </row>
    <row r="33" spans="1:2" s="58" customFormat="1" ht="12" customHeight="1">
      <c r="A33" s="109"/>
      <c r="B33" s="110"/>
    </row>
    <row r="34" spans="1:2" s="58" customFormat="1" ht="12" customHeight="1">
      <c r="A34" s="109"/>
      <c r="B34" s="110"/>
    </row>
    <row r="35" spans="1:2" s="58" customFormat="1" ht="12" customHeight="1">
      <c r="A35" s="109"/>
      <c r="B35" s="110"/>
    </row>
    <row r="36" spans="1:2" s="58" customFormat="1" ht="12" customHeight="1">
      <c r="A36" s="109"/>
      <c r="B36" s="110"/>
    </row>
    <row r="37" spans="1:2" s="58" customFormat="1" ht="12" customHeight="1">
      <c r="A37" s="109"/>
      <c r="B37" s="110"/>
    </row>
    <row r="38" spans="1:2" s="58" customFormat="1" ht="12" customHeight="1">
      <c r="A38" s="109"/>
      <c r="B38" s="110"/>
    </row>
    <row r="39" spans="1:2" s="58" customFormat="1" ht="12" customHeight="1">
      <c r="A39" s="109"/>
      <c r="B39" s="110"/>
    </row>
    <row r="40" spans="1:2" s="58" customFormat="1" ht="12" customHeight="1">
      <c r="A40" s="109"/>
      <c r="B40" s="110"/>
    </row>
    <row r="41" spans="1:2" s="58" customFormat="1" ht="12" customHeight="1">
      <c r="A41" s="109"/>
      <c r="B41" s="110"/>
    </row>
    <row r="42" spans="1:2" s="58" customFormat="1" ht="12" customHeight="1">
      <c r="A42" s="109"/>
      <c r="B42" s="110"/>
    </row>
    <row r="43" spans="1:2" s="58" customFormat="1" ht="12" customHeight="1">
      <c r="A43" s="109"/>
      <c r="B43" s="110"/>
    </row>
    <row r="44" spans="1:2" s="58" customFormat="1" ht="12" customHeight="1">
      <c r="A44" s="109"/>
      <c r="B44" s="110"/>
    </row>
    <row r="45" spans="1:2" s="58" customFormat="1" ht="12" customHeight="1">
      <c r="A45" s="109"/>
      <c r="B45" s="110"/>
    </row>
    <row r="46" spans="1:2" s="58" customFormat="1" ht="12" customHeight="1">
      <c r="A46" s="109"/>
      <c r="B46" s="110"/>
    </row>
    <row r="47" spans="1:2" s="58" customFormat="1" ht="12" customHeight="1">
      <c r="A47" s="109"/>
      <c r="B47" s="110"/>
    </row>
    <row r="48" spans="1:2" s="58" customFormat="1" ht="12" customHeight="1">
      <c r="A48" s="109"/>
      <c r="B48" s="110"/>
    </row>
    <row r="49" spans="1:2" s="58" customFormat="1" ht="12" customHeight="1">
      <c r="A49" s="109"/>
      <c r="B49" s="110"/>
    </row>
    <row r="50" spans="1:2" s="58" customFormat="1" ht="12" customHeight="1">
      <c r="A50" s="109"/>
      <c r="B50" s="110"/>
    </row>
    <row r="51" spans="1:2" s="58" customFormat="1" ht="12" customHeight="1">
      <c r="A51" s="109"/>
      <c r="B51" s="110"/>
    </row>
    <row r="52" spans="1:2" s="58" customFormat="1" ht="12" customHeight="1">
      <c r="A52" s="109"/>
      <c r="B52" s="110"/>
    </row>
    <row r="53" spans="1:2" s="58" customFormat="1" ht="12" customHeight="1">
      <c r="A53" s="109"/>
      <c r="B53" s="110"/>
    </row>
    <row r="54" spans="1:2" s="58" customFormat="1" ht="12" customHeight="1">
      <c r="A54" s="109"/>
      <c r="B54" s="110"/>
    </row>
    <row r="55" spans="1:2" s="58" customFormat="1" ht="12" customHeight="1">
      <c r="A55" s="109"/>
      <c r="B55" s="110"/>
    </row>
    <row r="56" spans="1:2" s="58" customFormat="1" ht="12" customHeight="1">
      <c r="A56" s="109"/>
      <c r="B56" s="110"/>
    </row>
    <row r="57" spans="1:2" s="58" customFormat="1" ht="12" customHeight="1">
      <c r="A57" s="109"/>
      <c r="B57" s="110"/>
    </row>
    <row r="58" spans="1:2" s="58" customFormat="1" ht="12" customHeight="1">
      <c r="A58" s="109"/>
      <c r="B58" s="110"/>
    </row>
    <row r="59" spans="1:2" s="58" customFormat="1" ht="12" customHeight="1">
      <c r="A59" s="109"/>
      <c r="B59" s="110"/>
    </row>
    <row r="60" spans="1:2" s="58" customFormat="1" ht="12" customHeight="1">
      <c r="A60" s="109"/>
      <c r="B60" s="110"/>
    </row>
    <row r="61" spans="1:2" s="58" customFormat="1" ht="12" customHeight="1">
      <c r="A61" s="109"/>
      <c r="B61" s="110"/>
    </row>
    <row r="62" spans="1:2" s="58" customFormat="1" ht="12" customHeight="1">
      <c r="A62" s="109"/>
      <c r="B62" s="110"/>
    </row>
    <row r="63" spans="1:2" s="58" customFormat="1" ht="12" customHeight="1">
      <c r="A63" s="109"/>
      <c r="B63" s="110"/>
    </row>
    <row r="64" spans="1:2" s="58" customFormat="1" ht="12" customHeight="1">
      <c r="A64" s="109"/>
      <c r="B64" s="110"/>
    </row>
    <row r="65" spans="1:2" s="58" customFormat="1" ht="12" customHeight="1">
      <c r="A65" s="109"/>
      <c r="B65" s="110"/>
    </row>
    <row r="66" spans="1:2" s="58" customFormat="1" ht="12" customHeight="1">
      <c r="A66" s="109"/>
      <c r="B66" s="110"/>
    </row>
    <row r="67" spans="1:2" s="58" customFormat="1" ht="12" customHeight="1">
      <c r="A67" s="109"/>
      <c r="B67" s="110"/>
    </row>
    <row r="68" spans="1:2" s="58" customFormat="1" ht="12" customHeight="1">
      <c r="A68" s="109"/>
      <c r="B68" s="110"/>
    </row>
    <row r="69" spans="1:2" s="58" customFormat="1" ht="12" customHeight="1">
      <c r="A69" s="109"/>
      <c r="B69" s="110"/>
    </row>
  </sheetData>
  <sheetProtection/>
  <mergeCells count="1">
    <mergeCell ref="C23:D23"/>
  </mergeCells>
  <printOptions/>
  <pageMargins left="0.75" right="0.75" top="1" bottom="1" header="0.5" footer="0.5"/>
  <pageSetup fitToHeight="1" fitToWidth="1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C201"/>
  <sheetViews>
    <sheetView showGridLines="0" zoomScale="125" zoomScaleNormal="125" workbookViewId="0" topLeftCell="A1">
      <selection activeCell="E23" sqref="E23"/>
    </sheetView>
  </sheetViews>
  <sheetFormatPr defaultColWidth="8.8515625" defaultRowHeight="12.75"/>
  <cols>
    <col min="1" max="1" width="27.28125" style="89" customWidth="1"/>
    <col min="2" max="2" width="18.28125" style="89" customWidth="1"/>
    <col min="3" max="16384" width="8.8515625" style="89" customWidth="1"/>
  </cols>
  <sheetData>
    <row r="1" spans="1:3" ht="16.5">
      <c r="A1" s="197" t="s">
        <v>253</v>
      </c>
      <c r="B1" s="198"/>
      <c r="C1" s="199"/>
    </row>
    <row r="2" spans="1:3" ht="16.5">
      <c r="A2" s="200"/>
      <c r="B2" s="158"/>
      <c r="C2" s="201"/>
    </row>
    <row r="3" spans="1:3" ht="12.75" thickBot="1">
      <c r="A3" s="202"/>
      <c r="B3" s="203"/>
      <c r="C3" s="204"/>
    </row>
    <row r="4" spans="1:3" ht="12">
      <c r="A4" s="151" t="s">
        <v>63</v>
      </c>
      <c r="B4" s="91"/>
      <c r="C4" s="149"/>
    </row>
    <row r="5" spans="1:3" ht="12">
      <c r="A5" s="155" t="str">
        <f>'Financial Statements'!B4</f>
        <v>KOHL'S  </v>
      </c>
      <c r="B5" s="93"/>
      <c r="C5" s="149"/>
    </row>
    <row r="6" spans="1:3" ht="12">
      <c r="A6" s="150" t="s">
        <v>396</v>
      </c>
      <c r="B6" s="261">
        <f>'Financial Statements'!F8</f>
        <v>40908</v>
      </c>
      <c r="C6" s="149"/>
    </row>
    <row r="7" spans="1:3" ht="12">
      <c r="A7" s="150" t="s">
        <v>216</v>
      </c>
      <c r="B7" s="156">
        <f>AVERAGE('Ratio Analysis'!C19:F19)</f>
        <v>1.5907792200831794</v>
      </c>
      <c r="C7" s="149"/>
    </row>
    <row r="8" spans="1:3" ht="12">
      <c r="A8" s="150" t="s">
        <v>433</v>
      </c>
      <c r="B8" s="156">
        <f>(('Financial Statements'!F12/'Financial Statements'!B12)^(1/4))-1</f>
        <v>0.005277228071850271</v>
      </c>
      <c r="C8" s="149"/>
    </row>
    <row r="9" spans="1:3" ht="12">
      <c r="A9" s="150"/>
      <c r="B9" s="91"/>
      <c r="C9" s="149"/>
    </row>
    <row r="10" spans="1:3" ht="12">
      <c r="A10" s="151" t="s">
        <v>434</v>
      </c>
      <c r="B10" s="91"/>
      <c r="C10" s="149"/>
    </row>
    <row r="11" spans="1:3" ht="12">
      <c r="A11" s="150" t="s">
        <v>157</v>
      </c>
      <c r="B11" s="141" t="s">
        <v>341</v>
      </c>
      <c r="C11" s="149"/>
    </row>
    <row r="12" spans="1:3" ht="12">
      <c r="A12" s="150" t="s">
        <v>174</v>
      </c>
      <c r="B12" s="140">
        <f>'Ratio Analysis'!G19</f>
        <v>3.4213361455051903</v>
      </c>
      <c r="C12" s="149"/>
    </row>
    <row r="13" spans="1:3" ht="12">
      <c r="A13" s="150" t="s">
        <v>158</v>
      </c>
      <c r="B13" s="140">
        <f>'Ratio Analysis'!Q19</f>
        <v>7.302401690661843</v>
      </c>
      <c r="C13" s="149"/>
    </row>
    <row r="14" spans="1:3" ht="12">
      <c r="A14" s="150" t="s">
        <v>175</v>
      </c>
      <c r="B14" s="140">
        <f>'Ratio Analysis'!G10</f>
        <v>0.01133065672497846</v>
      </c>
      <c r="C14" s="149"/>
    </row>
    <row r="15" spans="1:3" ht="12">
      <c r="A15" s="150" t="s">
        <v>358</v>
      </c>
      <c r="B15" s="140">
        <f>'Ratio Analysis'!Q10</f>
        <v>0.030000000000000027</v>
      </c>
      <c r="C15" s="149"/>
    </row>
    <row r="16" spans="1:3" ht="12">
      <c r="A16" s="150" t="s">
        <v>176</v>
      </c>
      <c r="B16" s="142">
        <f>'EPS Forecaster'!B16</f>
        <v>5831.0866967473785</v>
      </c>
      <c r="C16" s="149"/>
    </row>
    <row r="17" spans="1:3" ht="12">
      <c r="A17" s="150" t="s">
        <v>357</v>
      </c>
      <c r="B17" s="140">
        <f>'EPS Forecaster'!B19</f>
        <v>0.08664671908109556</v>
      </c>
      <c r="C17" s="149"/>
    </row>
    <row r="18" spans="1:3" ht="12">
      <c r="A18" s="150"/>
      <c r="B18" s="91"/>
      <c r="C18" s="149"/>
    </row>
    <row r="19" spans="1:3" ht="12">
      <c r="A19" s="151" t="s">
        <v>359</v>
      </c>
      <c r="B19" s="91"/>
      <c r="C19" s="149"/>
    </row>
    <row r="20" spans="1:3" ht="12">
      <c r="A20" s="150" t="s">
        <v>368</v>
      </c>
      <c r="B20" s="140">
        <f>'Valuation Parameters'!J9</f>
        <v>0.1</v>
      </c>
      <c r="C20" s="149"/>
    </row>
    <row r="21" spans="1:3" ht="12.75" thickBot="1">
      <c r="A21" s="150" t="s">
        <v>194</v>
      </c>
      <c r="B21" s="262">
        <f>'Valuation Parameters'!J11</f>
        <v>41079</v>
      </c>
      <c r="C21" s="149"/>
    </row>
    <row r="22" spans="1:3" ht="13.5" thickBot="1" thickTop="1">
      <c r="A22" s="150" t="s">
        <v>360</v>
      </c>
      <c r="B22" s="145">
        <f>'Residual Income Valuations'!B27</f>
        <v>83704.27083698496</v>
      </c>
      <c r="C22" s="149"/>
    </row>
    <row r="23" spans="1:3" ht="12.75" thickTop="1">
      <c r="A23" s="150" t="s">
        <v>164</v>
      </c>
      <c r="B23" s="143">
        <f>B22/'Model Summary'!B16</f>
        <v>14.354832159102658</v>
      </c>
      <c r="C23" s="149"/>
    </row>
    <row r="24" spans="1:3" ht="12">
      <c r="A24" s="150" t="s">
        <v>165</v>
      </c>
      <c r="B24" s="144">
        <f>(B22*'Residual Income Valuations'!B26)/'Financial Statements'!F57</f>
        <v>33.60383577821495</v>
      </c>
      <c r="C24" s="149"/>
    </row>
    <row r="25" spans="1:3" ht="12.75" thickBot="1">
      <c r="A25" s="152"/>
      <c r="B25" s="153"/>
      <c r="C25" s="154"/>
    </row>
    <row r="101" spans="30:98" ht="12"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  <c r="BI101" s="146"/>
      <c r="BJ101" s="146"/>
      <c r="BK101" s="146"/>
      <c r="BL101" s="146"/>
      <c r="BM101" s="146"/>
      <c r="BN101" s="146"/>
      <c r="BO101" s="146"/>
      <c r="BP101" s="146"/>
      <c r="BQ101" s="146"/>
      <c r="BR101" s="146"/>
      <c r="BS101" s="146"/>
      <c r="BT101" s="146"/>
      <c r="BU101" s="146"/>
      <c r="BV101" s="146"/>
      <c r="BW101" s="146"/>
      <c r="BX101" s="146"/>
      <c r="BY101" s="146"/>
      <c r="BZ101" s="146"/>
      <c r="CA101" s="146"/>
      <c r="CB101" s="146"/>
      <c r="CC101" s="146"/>
      <c r="CD101" s="146"/>
      <c r="CE101" s="146"/>
      <c r="CF101" s="146"/>
      <c r="CG101" s="146"/>
      <c r="CH101" s="146"/>
      <c r="CI101" s="146"/>
      <c r="CJ101" s="146"/>
      <c r="CK101" s="146"/>
      <c r="CL101" s="146"/>
      <c r="CM101" s="146"/>
      <c r="CN101" s="146"/>
      <c r="CO101" s="146"/>
      <c r="CP101" s="146"/>
      <c r="CQ101" s="146"/>
      <c r="CR101" s="146"/>
      <c r="CS101" s="146"/>
      <c r="CT101" s="146"/>
    </row>
    <row r="102" spans="30:98" ht="12"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  <c r="BI102" s="146"/>
      <c r="BJ102" s="146"/>
      <c r="BK102" s="146"/>
      <c r="BL102" s="146"/>
      <c r="BM102" s="146"/>
      <c r="BN102" s="146"/>
      <c r="BO102" s="146"/>
      <c r="BP102" s="146"/>
      <c r="BQ102" s="146"/>
      <c r="BR102" s="146"/>
      <c r="BS102" s="146"/>
      <c r="BT102" s="146"/>
      <c r="BU102" s="146"/>
      <c r="BV102" s="146"/>
      <c r="BW102" s="146"/>
      <c r="BX102" s="146"/>
      <c r="BY102" s="146"/>
      <c r="BZ102" s="146"/>
      <c r="CA102" s="146"/>
      <c r="CB102" s="146"/>
      <c r="CC102" s="146"/>
      <c r="CD102" s="146"/>
      <c r="CE102" s="146"/>
      <c r="CF102" s="146"/>
      <c r="CG102" s="146"/>
      <c r="CH102" s="146"/>
      <c r="CI102" s="146"/>
      <c r="CJ102" s="146"/>
      <c r="CK102" s="146"/>
      <c r="CL102" s="146"/>
      <c r="CM102" s="146"/>
      <c r="CN102" s="146"/>
      <c r="CO102" s="146"/>
      <c r="CP102" s="146"/>
      <c r="CQ102" s="146"/>
      <c r="CR102" s="146"/>
      <c r="CS102" s="146"/>
      <c r="CT102" s="146"/>
    </row>
    <row r="103" spans="30:98" ht="12"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  <c r="BI103" s="146"/>
      <c r="BJ103" s="146"/>
      <c r="BK103" s="146"/>
      <c r="BL103" s="146"/>
      <c r="BM103" s="146"/>
      <c r="BN103" s="146"/>
      <c r="BO103" s="146"/>
      <c r="BP103" s="146"/>
      <c r="BQ103" s="146"/>
      <c r="BR103" s="146"/>
      <c r="BS103" s="146"/>
      <c r="BT103" s="146"/>
      <c r="BU103" s="146"/>
      <c r="BV103" s="146"/>
      <c r="BW103" s="146"/>
      <c r="BX103" s="146"/>
      <c r="BY103" s="146"/>
      <c r="BZ103" s="146"/>
      <c r="CA103" s="146"/>
      <c r="CB103" s="146"/>
      <c r="CC103" s="146"/>
      <c r="CD103" s="146"/>
      <c r="CE103" s="146"/>
      <c r="CF103" s="146"/>
      <c r="CG103" s="146"/>
      <c r="CH103" s="146"/>
      <c r="CI103" s="146"/>
      <c r="CJ103" s="146"/>
      <c r="CK103" s="146"/>
      <c r="CL103" s="146"/>
      <c r="CM103" s="146"/>
      <c r="CN103" s="146"/>
      <c r="CO103" s="146"/>
      <c r="CP103" s="146"/>
      <c r="CQ103" s="146"/>
      <c r="CR103" s="146"/>
      <c r="CS103" s="146"/>
      <c r="CT103" s="146"/>
    </row>
    <row r="104" spans="30:98" ht="12"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  <c r="BI104" s="146"/>
      <c r="BJ104" s="146"/>
      <c r="BK104" s="146"/>
      <c r="BL104" s="146"/>
      <c r="BM104" s="146"/>
      <c r="BN104" s="146"/>
      <c r="BO104" s="146"/>
      <c r="BP104" s="146"/>
      <c r="BQ104" s="146"/>
      <c r="BR104" s="146"/>
      <c r="BS104" s="146"/>
      <c r="BT104" s="146"/>
      <c r="BU104" s="146"/>
      <c r="BV104" s="146"/>
      <c r="BW104" s="146"/>
      <c r="BX104" s="146"/>
      <c r="BY104" s="146"/>
      <c r="BZ104" s="146"/>
      <c r="CA104" s="146"/>
      <c r="CB104" s="146"/>
      <c r="CC104" s="146"/>
      <c r="CD104" s="146"/>
      <c r="CE104" s="146"/>
      <c r="CF104" s="146"/>
      <c r="CG104" s="146"/>
      <c r="CH104" s="146"/>
      <c r="CI104" s="146"/>
      <c r="CJ104" s="146"/>
      <c r="CK104" s="146"/>
      <c r="CL104" s="146"/>
      <c r="CM104" s="146"/>
      <c r="CN104" s="146"/>
      <c r="CO104" s="146"/>
      <c r="CP104" s="146"/>
      <c r="CQ104" s="146"/>
      <c r="CR104" s="146"/>
      <c r="CS104" s="146"/>
      <c r="CT104" s="146"/>
    </row>
    <row r="105" spans="30:98" ht="12"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  <c r="BI105" s="146"/>
      <c r="BJ105" s="146"/>
      <c r="BK105" s="146"/>
      <c r="BL105" s="146"/>
      <c r="BM105" s="146"/>
      <c r="BN105" s="146"/>
      <c r="BO105" s="146"/>
      <c r="BP105" s="146"/>
      <c r="BQ105" s="146"/>
      <c r="BR105" s="146"/>
      <c r="BS105" s="146"/>
      <c r="BT105" s="146"/>
      <c r="BU105" s="146"/>
      <c r="BV105" s="146"/>
      <c r="BW105" s="146"/>
      <c r="BX105" s="146"/>
      <c r="BY105" s="146"/>
      <c r="BZ105" s="146"/>
      <c r="CA105" s="146"/>
      <c r="CB105" s="146"/>
      <c r="CC105" s="146"/>
      <c r="CD105" s="146"/>
      <c r="CE105" s="146"/>
      <c r="CF105" s="146"/>
      <c r="CG105" s="146"/>
      <c r="CH105" s="146"/>
      <c r="CI105" s="146"/>
      <c r="CJ105" s="146"/>
      <c r="CK105" s="146"/>
      <c r="CL105" s="146"/>
      <c r="CM105" s="146"/>
      <c r="CN105" s="146"/>
      <c r="CO105" s="146"/>
      <c r="CP105" s="146"/>
      <c r="CQ105" s="146"/>
      <c r="CR105" s="146"/>
      <c r="CS105" s="146"/>
      <c r="CT105" s="146"/>
    </row>
    <row r="106" spans="30:98" ht="12"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  <c r="BI106" s="146"/>
      <c r="BJ106" s="146"/>
      <c r="BK106" s="146"/>
      <c r="BL106" s="146"/>
      <c r="BM106" s="146"/>
      <c r="BN106" s="146"/>
      <c r="BO106" s="146"/>
      <c r="BP106" s="146"/>
      <c r="BQ106" s="146"/>
      <c r="BR106" s="146"/>
      <c r="BS106" s="146"/>
      <c r="BT106" s="146"/>
      <c r="BU106" s="146"/>
      <c r="BV106" s="146"/>
      <c r="BW106" s="146"/>
      <c r="BX106" s="146"/>
      <c r="BY106" s="146"/>
      <c r="BZ106" s="146"/>
      <c r="CA106" s="146"/>
      <c r="CB106" s="146"/>
      <c r="CC106" s="146"/>
      <c r="CD106" s="146"/>
      <c r="CE106" s="146"/>
      <c r="CF106" s="146"/>
      <c r="CG106" s="146"/>
      <c r="CH106" s="146"/>
      <c r="CI106" s="146"/>
      <c r="CJ106" s="146"/>
      <c r="CK106" s="146"/>
      <c r="CL106" s="146"/>
      <c r="CM106" s="146"/>
      <c r="CN106" s="146"/>
      <c r="CO106" s="146"/>
      <c r="CP106" s="146"/>
      <c r="CQ106" s="146"/>
      <c r="CR106" s="146"/>
      <c r="CS106" s="146"/>
      <c r="CT106" s="146"/>
    </row>
    <row r="107" spans="30:98" ht="12"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  <c r="BI107" s="146"/>
      <c r="BJ107" s="146"/>
      <c r="BK107" s="146"/>
      <c r="BL107" s="146"/>
      <c r="BM107" s="146"/>
      <c r="BN107" s="146"/>
      <c r="BO107" s="146"/>
      <c r="BP107" s="146"/>
      <c r="BQ107" s="146"/>
      <c r="BR107" s="146"/>
      <c r="BS107" s="146"/>
      <c r="BT107" s="146"/>
      <c r="BU107" s="146"/>
      <c r="BV107" s="146"/>
      <c r="BW107" s="146"/>
      <c r="BX107" s="146"/>
      <c r="BY107" s="146"/>
      <c r="BZ107" s="146"/>
      <c r="CA107" s="146"/>
      <c r="CB107" s="146"/>
      <c r="CC107" s="146"/>
      <c r="CD107" s="146"/>
      <c r="CE107" s="146"/>
      <c r="CF107" s="146"/>
      <c r="CG107" s="146"/>
      <c r="CH107" s="146"/>
      <c r="CI107" s="146"/>
      <c r="CJ107" s="146"/>
      <c r="CK107" s="146"/>
      <c r="CL107" s="146"/>
      <c r="CM107" s="146"/>
      <c r="CN107" s="146"/>
      <c r="CO107" s="146"/>
      <c r="CP107" s="146"/>
      <c r="CQ107" s="146"/>
      <c r="CR107" s="146"/>
      <c r="CS107" s="146"/>
      <c r="CT107" s="146"/>
    </row>
    <row r="108" spans="30:98" ht="12"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146"/>
      <c r="BF108" s="146"/>
      <c r="BG108" s="146"/>
      <c r="BH108" s="146"/>
      <c r="BI108" s="146"/>
      <c r="BJ108" s="146"/>
      <c r="BK108" s="146"/>
      <c r="BL108" s="146"/>
      <c r="BM108" s="146"/>
      <c r="BN108" s="146"/>
      <c r="BO108" s="146"/>
      <c r="BP108" s="146"/>
      <c r="BQ108" s="146"/>
      <c r="BR108" s="146"/>
      <c r="BS108" s="146"/>
      <c r="BT108" s="146"/>
      <c r="BU108" s="146"/>
      <c r="BV108" s="146"/>
      <c r="BW108" s="146"/>
      <c r="BX108" s="146"/>
      <c r="BY108" s="146"/>
      <c r="BZ108" s="146"/>
      <c r="CA108" s="146"/>
      <c r="CB108" s="146"/>
      <c r="CC108" s="146"/>
      <c r="CD108" s="146"/>
      <c r="CE108" s="146"/>
      <c r="CF108" s="146"/>
      <c r="CG108" s="146"/>
      <c r="CH108" s="146"/>
      <c r="CI108" s="146"/>
      <c r="CJ108" s="146"/>
      <c r="CK108" s="146"/>
      <c r="CL108" s="146"/>
      <c r="CM108" s="146"/>
      <c r="CN108" s="146"/>
      <c r="CO108" s="146"/>
      <c r="CP108" s="146"/>
      <c r="CQ108" s="146"/>
      <c r="CR108" s="146"/>
      <c r="CS108" s="146"/>
      <c r="CT108" s="146"/>
    </row>
    <row r="109" spans="30:98" ht="12"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  <c r="BI109" s="146"/>
      <c r="BJ109" s="146"/>
      <c r="BK109" s="146"/>
      <c r="BL109" s="146"/>
      <c r="BM109" s="146"/>
      <c r="BN109" s="146"/>
      <c r="BO109" s="146"/>
      <c r="BP109" s="146"/>
      <c r="BQ109" s="146"/>
      <c r="BR109" s="146"/>
      <c r="BS109" s="146"/>
      <c r="BT109" s="146"/>
      <c r="BU109" s="146"/>
      <c r="BV109" s="146"/>
      <c r="BW109" s="146"/>
      <c r="BX109" s="146"/>
      <c r="BY109" s="146"/>
      <c r="BZ109" s="146"/>
      <c r="CA109" s="146"/>
      <c r="CB109" s="146"/>
      <c r="CC109" s="146"/>
      <c r="CD109" s="146"/>
      <c r="CE109" s="146"/>
      <c r="CF109" s="146"/>
      <c r="CG109" s="146"/>
      <c r="CH109" s="146"/>
      <c r="CI109" s="146"/>
      <c r="CJ109" s="146"/>
      <c r="CK109" s="146"/>
      <c r="CL109" s="146"/>
      <c r="CM109" s="146"/>
      <c r="CN109" s="146"/>
      <c r="CO109" s="146"/>
      <c r="CP109" s="146"/>
      <c r="CQ109" s="146"/>
      <c r="CR109" s="146"/>
      <c r="CS109" s="146"/>
      <c r="CT109" s="146"/>
    </row>
    <row r="110" spans="30:98" ht="12"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  <c r="BI110" s="146"/>
      <c r="BJ110" s="146"/>
      <c r="BK110" s="146"/>
      <c r="BL110" s="146"/>
      <c r="BM110" s="146"/>
      <c r="BN110" s="146"/>
      <c r="BO110" s="146"/>
      <c r="BP110" s="146"/>
      <c r="BQ110" s="146"/>
      <c r="BR110" s="146"/>
      <c r="BS110" s="146"/>
      <c r="BT110" s="146"/>
      <c r="BU110" s="146"/>
      <c r="BV110" s="146"/>
      <c r="BW110" s="146"/>
      <c r="BX110" s="146"/>
      <c r="BY110" s="146"/>
      <c r="BZ110" s="146"/>
      <c r="CA110" s="146"/>
      <c r="CB110" s="146"/>
      <c r="CC110" s="146"/>
      <c r="CD110" s="146"/>
      <c r="CE110" s="146"/>
      <c r="CF110" s="146"/>
      <c r="CG110" s="146"/>
      <c r="CH110" s="146"/>
      <c r="CI110" s="146"/>
      <c r="CJ110" s="146"/>
      <c r="CK110" s="146"/>
      <c r="CL110" s="146"/>
      <c r="CM110" s="146"/>
      <c r="CN110" s="146"/>
      <c r="CO110" s="146"/>
      <c r="CP110" s="146"/>
      <c r="CQ110" s="146"/>
      <c r="CR110" s="146"/>
      <c r="CS110" s="146"/>
      <c r="CT110" s="146"/>
    </row>
    <row r="111" spans="30:98" ht="12"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  <c r="BI111" s="146"/>
      <c r="BJ111" s="146"/>
      <c r="BK111" s="146"/>
      <c r="BL111" s="146"/>
      <c r="BM111" s="146"/>
      <c r="BN111" s="146"/>
      <c r="BO111" s="146"/>
      <c r="BP111" s="146"/>
      <c r="BQ111" s="146"/>
      <c r="BR111" s="146"/>
      <c r="BS111" s="146"/>
      <c r="BT111" s="146"/>
      <c r="BU111" s="146"/>
      <c r="BV111" s="146"/>
      <c r="BW111" s="146"/>
      <c r="BX111" s="146"/>
      <c r="BY111" s="146"/>
      <c r="BZ111" s="146"/>
      <c r="CA111" s="146"/>
      <c r="CB111" s="146"/>
      <c r="CC111" s="146"/>
      <c r="CD111" s="146"/>
      <c r="CE111" s="146"/>
      <c r="CF111" s="146"/>
      <c r="CG111" s="146"/>
      <c r="CH111" s="146"/>
      <c r="CI111" s="146"/>
      <c r="CJ111" s="146"/>
      <c r="CK111" s="146"/>
      <c r="CL111" s="146"/>
      <c r="CM111" s="146"/>
      <c r="CN111" s="146"/>
      <c r="CO111" s="146"/>
      <c r="CP111" s="146"/>
      <c r="CQ111" s="146"/>
      <c r="CR111" s="146"/>
      <c r="CS111" s="146"/>
      <c r="CT111" s="146"/>
    </row>
    <row r="112" spans="30:98" ht="12"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146"/>
      <c r="BF112" s="146"/>
      <c r="BG112" s="146"/>
      <c r="BH112" s="146"/>
      <c r="BI112" s="146"/>
      <c r="BJ112" s="146"/>
      <c r="BK112" s="146"/>
      <c r="BL112" s="146"/>
      <c r="BM112" s="146"/>
      <c r="BN112" s="146"/>
      <c r="BO112" s="146"/>
      <c r="BP112" s="146"/>
      <c r="BQ112" s="146"/>
      <c r="BR112" s="146"/>
      <c r="BS112" s="146"/>
      <c r="BT112" s="146"/>
      <c r="BU112" s="146"/>
      <c r="BV112" s="146"/>
      <c r="BW112" s="146"/>
      <c r="BX112" s="146"/>
      <c r="BY112" s="146"/>
      <c r="BZ112" s="146"/>
      <c r="CA112" s="146"/>
      <c r="CB112" s="146"/>
      <c r="CC112" s="146"/>
      <c r="CD112" s="146"/>
      <c r="CE112" s="146"/>
      <c r="CF112" s="146"/>
      <c r="CG112" s="146"/>
      <c r="CH112" s="146"/>
      <c r="CI112" s="146"/>
      <c r="CJ112" s="146"/>
      <c r="CK112" s="146"/>
      <c r="CL112" s="146"/>
      <c r="CM112" s="146"/>
      <c r="CN112" s="146"/>
      <c r="CO112" s="146"/>
      <c r="CP112" s="146"/>
      <c r="CQ112" s="146"/>
      <c r="CR112" s="146"/>
      <c r="CS112" s="146"/>
      <c r="CT112" s="146"/>
    </row>
    <row r="113" spans="30:98" ht="12"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6"/>
      <c r="BB113" s="146"/>
      <c r="BC113" s="146"/>
      <c r="BD113" s="146"/>
      <c r="BE113" s="146"/>
      <c r="BF113" s="146"/>
      <c r="BG113" s="146"/>
      <c r="BH113" s="146"/>
      <c r="BI113" s="146"/>
      <c r="BJ113" s="146"/>
      <c r="BK113" s="146"/>
      <c r="BL113" s="146"/>
      <c r="BM113" s="146"/>
      <c r="BN113" s="146"/>
      <c r="BO113" s="146"/>
      <c r="BP113" s="146"/>
      <c r="BQ113" s="146"/>
      <c r="BR113" s="146"/>
      <c r="BS113" s="146"/>
      <c r="BT113" s="146"/>
      <c r="BU113" s="146"/>
      <c r="BV113" s="146"/>
      <c r="BW113" s="146"/>
      <c r="BX113" s="146"/>
      <c r="BY113" s="146"/>
      <c r="BZ113" s="146"/>
      <c r="CA113" s="146"/>
      <c r="CB113" s="146"/>
      <c r="CC113" s="146"/>
      <c r="CD113" s="146"/>
      <c r="CE113" s="146"/>
      <c r="CF113" s="146"/>
      <c r="CG113" s="146"/>
      <c r="CH113" s="146"/>
      <c r="CI113" s="146"/>
      <c r="CJ113" s="146"/>
      <c r="CK113" s="146"/>
      <c r="CL113" s="146"/>
      <c r="CM113" s="146"/>
      <c r="CN113" s="146"/>
      <c r="CO113" s="146"/>
      <c r="CP113" s="146"/>
      <c r="CQ113" s="146"/>
      <c r="CR113" s="146"/>
      <c r="CS113" s="146"/>
      <c r="CT113" s="146"/>
    </row>
    <row r="114" spans="30:98" ht="12"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  <c r="BI114" s="146"/>
      <c r="BJ114" s="146"/>
      <c r="BK114" s="146"/>
      <c r="BL114" s="146"/>
      <c r="BM114" s="146"/>
      <c r="BN114" s="146"/>
      <c r="BO114" s="146"/>
      <c r="BP114" s="146"/>
      <c r="BQ114" s="146"/>
      <c r="BR114" s="146"/>
      <c r="BS114" s="146"/>
      <c r="BT114" s="146"/>
      <c r="BU114" s="146"/>
      <c r="BV114" s="146"/>
      <c r="BW114" s="146"/>
      <c r="BX114" s="146"/>
      <c r="BY114" s="146"/>
      <c r="BZ114" s="146"/>
      <c r="CA114" s="146"/>
      <c r="CB114" s="146"/>
      <c r="CC114" s="146"/>
      <c r="CD114" s="146"/>
      <c r="CE114" s="146"/>
      <c r="CF114" s="146"/>
      <c r="CG114" s="146"/>
      <c r="CH114" s="146"/>
      <c r="CI114" s="146"/>
      <c r="CJ114" s="146"/>
      <c r="CK114" s="146"/>
      <c r="CL114" s="146"/>
      <c r="CM114" s="146"/>
      <c r="CN114" s="146"/>
      <c r="CO114" s="146"/>
      <c r="CP114" s="146"/>
      <c r="CQ114" s="146"/>
      <c r="CR114" s="146"/>
      <c r="CS114" s="146"/>
      <c r="CT114" s="146"/>
    </row>
    <row r="115" spans="30:98" ht="12"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146"/>
      <c r="AX115" s="146"/>
      <c r="AY115" s="146"/>
      <c r="AZ115" s="146"/>
      <c r="BA115" s="146"/>
      <c r="BB115" s="146"/>
      <c r="BC115" s="146"/>
      <c r="BD115" s="146"/>
      <c r="BE115" s="146"/>
      <c r="BF115" s="146"/>
      <c r="BG115" s="146"/>
      <c r="BH115" s="146"/>
      <c r="BI115" s="146"/>
      <c r="BJ115" s="146"/>
      <c r="BK115" s="146"/>
      <c r="BL115" s="146"/>
      <c r="BM115" s="146"/>
      <c r="BN115" s="146"/>
      <c r="BO115" s="146"/>
      <c r="BP115" s="146"/>
      <c r="BQ115" s="146"/>
      <c r="BR115" s="146"/>
      <c r="BS115" s="146"/>
      <c r="BT115" s="146"/>
      <c r="BU115" s="146"/>
      <c r="BV115" s="146"/>
      <c r="BW115" s="146"/>
      <c r="BX115" s="146"/>
      <c r="BY115" s="146"/>
      <c r="BZ115" s="146"/>
      <c r="CA115" s="146"/>
      <c r="CB115" s="146"/>
      <c r="CC115" s="146"/>
      <c r="CD115" s="146"/>
      <c r="CE115" s="146"/>
      <c r="CF115" s="146"/>
      <c r="CG115" s="146"/>
      <c r="CH115" s="146"/>
      <c r="CI115" s="146"/>
      <c r="CJ115" s="146"/>
      <c r="CK115" s="146"/>
      <c r="CL115" s="146"/>
      <c r="CM115" s="146"/>
      <c r="CN115" s="146"/>
      <c r="CO115" s="146"/>
      <c r="CP115" s="146"/>
      <c r="CQ115" s="146"/>
      <c r="CR115" s="146"/>
      <c r="CS115" s="146"/>
      <c r="CT115" s="146"/>
    </row>
    <row r="116" spans="30:98" ht="12"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146"/>
      <c r="AX116" s="146"/>
      <c r="AY116" s="146"/>
      <c r="AZ116" s="146"/>
      <c r="BA116" s="146"/>
      <c r="BB116" s="146"/>
      <c r="BC116" s="146"/>
      <c r="BD116" s="146"/>
      <c r="BE116" s="146"/>
      <c r="BF116" s="146"/>
      <c r="BG116" s="146"/>
      <c r="BH116" s="146"/>
      <c r="BI116" s="146"/>
      <c r="BJ116" s="146"/>
      <c r="BK116" s="146"/>
      <c r="BL116" s="146"/>
      <c r="BM116" s="146"/>
      <c r="BN116" s="146"/>
      <c r="BO116" s="146"/>
      <c r="BP116" s="146"/>
      <c r="BQ116" s="146"/>
      <c r="BR116" s="146"/>
      <c r="BS116" s="146"/>
      <c r="BT116" s="146"/>
      <c r="BU116" s="146"/>
      <c r="BV116" s="146"/>
      <c r="BW116" s="146"/>
      <c r="BX116" s="146"/>
      <c r="BY116" s="146"/>
      <c r="BZ116" s="146"/>
      <c r="CA116" s="146"/>
      <c r="CB116" s="146"/>
      <c r="CC116" s="146"/>
      <c r="CD116" s="146"/>
      <c r="CE116" s="146"/>
      <c r="CF116" s="146"/>
      <c r="CG116" s="146"/>
      <c r="CH116" s="146"/>
      <c r="CI116" s="146"/>
      <c r="CJ116" s="146"/>
      <c r="CK116" s="146"/>
      <c r="CL116" s="146"/>
      <c r="CM116" s="146"/>
      <c r="CN116" s="146"/>
      <c r="CO116" s="146"/>
      <c r="CP116" s="146"/>
      <c r="CQ116" s="146"/>
      <c r="CR116" s="146"/>
      <c r="CS116" s="146"/>
      <c r="CT116" s="146"/>
    </row>
    <row r="117" spans="30:98" ht="12"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  <c r="BI117" s="146"/>
      <c r="BJ117" s="146"/>
      <c r="BK117" s="146"/>
      <c r="BL117" s="146"/>
      <c r="BM117" s="146"/>
      <c r="BN117" s="146"/>
      <c r="BO117" s="146"/>
      <c r="BP117" s="146"/>
      <c r="BQ117" s="146"/>
      <c r="BR117" s="146"/>
      <c r="BS117" s="146"/>
      <c r="BT117" s="146"/>
      <c r="BU117" s="146"/>
      <c r="BV117" s="146"/>
      <c r="BW117" s="146"/>
      <c r="BX117" s="146"/>
      <c r="BY117" s="146"/>
      <c r="BZ117" s="146"/>
      <c r="CA117" s="146"/>
      <c r="CB117" s="146"/>
      <c r="CC117" s="146"/>
      <c r="CD117" s="146"/>
      <c r="CE117" s="146"/>
      <c r="CF117" s="146"/>
      <c r="CG117" s="146"/>
      <c r="CH117" s="146"/>
      <c r="CI117" s="146"/>
      <c r="CJ117" s="146"/>
      <c r="CK117" s="146"/>
      <c r="CL117" s="146"/>
      <c r="CM117" s="146"/>
      <c r="CN117" s="146"/>
      <c r="CO117" s="146"/>
      <c r="CP117" s="146"/>
      <c r="CQ117" s="146"/>
      <c r="CR117" s="146"/>
      <c r="CS117" s="146"/>
      <c r="CT117" s="146"/>
    </row>
    <row r="118" spans="30:98" ht="12"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46"/>
      <c r="AY118" s="146"/>
      <c r="AZ118" s="146"/>
      <c r="BA118" s="146"/>
      <c r="BB118" s="146"/>
      <c r="BC118" s="146"/>
      <c r="BD118" s="146"/>
      <c r="BE118" s="146"/>
      <c r="BF118" s="146"/>
      <c r="BG118" s="146"/>
      <c r="BH118" s="146"/>
      <c r="BI118" s="146"/>
      <c r="BJ118" s="146"/>
      <c r="BK118" s="146"/>
      <c r="BL118" s="146"/>
      <c r="BM118" s="146"/>
      <c r="BN118" s="146"/>
      <c r="BO118" s="146"/>
      <c r="BP118" s="146"/>
      <c r="BQ118" s="146"/>
      <c r="BR118" s="146"/>
      <c r="BS118" s="146"/>
      <c r="BT118" s="146"/>
      <c r="BU118" s="146"/>
      <c r="BV118" s="146"/>
      <c r="BW118" s="146"/>
      <c r="BX118" s="146"/>
      <c r="BY118" s="146"/>
      <c r="BZ118" s="146"/>
      <c r="CA118" s="146"/>
      <c r="CB118" s="146"/>
      <c r="CC118" s="146"/>
      <c r="CD118" s="146"/>
      <c r="CE118" s="146"/>
      <c r="CF118" s="146"/>
      <c r="CG118" s="146"/>
      <c r="CH118" s="146"/>
      <c r="CI118" s="146"/>
      <c r="CJ118" s="146"/>
      <c r="CK118" s="146"/>
      <c r="CL118" s="146"/>
      <c r="CM118" s="146"/>
      <c r="CN118" s="146"/>
      <c r="CO118" s="146"/>
      <c r="CP118" s="146"/>
      <c r="CQ118" s="146"/>
      <c r="CR118" s="146"/>
      <c r="CS118" s="146"/>
      <c r="CT118" s="146"/>
    </row>
    <row r="119" spans="30:98" ht="12"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  <c r="BI119" s="146"/>
      <c r="BJ119" s="146"/>
      <c r="BK119" s="146"/>
      <c r="BL119" s="146"/>
      <c r="BM119" s="146"/>
      <c r="BN119" s="146"/>
      <c r="BO119" s="146"/>
      <c r="BP119" s="146"/>
      <c r="BQ119" s="146"/>
      <c r="BR119" s="146"/>
      <c r="BS119" s="146"/>
      <c r="BT119" s="146"/>
      <c r="BU119" s="146"/>
      <c r="BV119" s="146"/>
      <c r="BW119" s="146"/>
      <c r="BX119" s="146"/>
      <c r="BY119" s="146"/>
      <c r="BZ119" s="146"/>
      <c r="CA119" s="146"/>
      <c r="CB119" s="146"/>
      <c r="CC119" s="146"/>
      <c r="CD119" s="146"/>
      <c r="CE119" s="146"/>
      <c r="CF119" s="146"/>
      <c r="CG119" s="146"/>
      <c r="CH119" s="146"/>
      <c r="CI119" s="146"/>
      <c r="CJ119" s="146"/>
      <c r="CK119" s="146"/>
      <c r="CL119" s="146"/>
      <c r="CM119" s="146"/>
      <c r="CN119" s="146"/>
      <c r="CO119" s="146"/>
      <c r="CP119" s="146"/>
      <c r="CQ119" s="146"/>
      <c r="CR119" s="146"/>
      <c r="CS119" s="146"/>
      <c r="CT119" s="146"/>
    </row>
    <row r="120" spans="30:98" ht="12"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6"/>
      <c r="AZ120" s="146"/>
      <c r="BA120" s="146"/>
      <c r="BB120" s="146"/>
      <c r="BC120" s="146"/>
      <c r="BD120" s="146"/>
      <c r="BE120" s="146"/>
      <c r="BF120" s="146"/>
      <c r="BG120" s="146"/>
      <c r="BH120" s="146"/>
      <c r="BI120" s="146"/>
      <c r="BJ120" s="146"/>
      <c r="BK120" s="146"/>
      <c r="BL120" s="146"/>
      <c r="BM120" s="146"/>
      <c r="BN120" s="146"/>
      <c r="BO120" s="146"/>
      <c r="BP120" s="146"/>
      <c r="BQ120" s="146"/>
      <c r="BR120" s="146"/>
      <c r="BS120" s="146"/>
      <c r="BT120" s="146"/>
      <c r="BU120" s="146"/>
      <c r="BV120" s="146"/>
      <c r="BW120" s="146"/>
      <c r="BX120" s="146"/>
      <c r="BY120" s="146"/>
      <c r="BZ120" s="146"/>
      <c r="CA120" s="146"/>
      <c r="CB120" s="146"/>
      <c r="CC120" s="146"/>
      <c r="CD120" s="146"/>
      <c r="CE120" s="146"/>
      <c r="CF120" s="146"/>
      <c r="CG120" s="146"/>
      <c r="CH120" s="146"/>
      <c r="CI120" s="146"/>
      <c r="CJ120" s="146"/>
      <c r="CK120" s="146"/>
      <c r="CL120" s="146"/>
      <c r="CM120" s="146"/>
      <c r="CN120" s="146"/>
      <c r="CO120" s="146"/>
      <c r="CP120" s="146"/>
      <c r="CQ120" s="146"/>
      <c r="CR120" s="146"/>
      <c r="CS120" s="146"/>
      <c r="CT120" s="146"/>
    </row>
    <row r="121" spans="30:98" ht="12"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146"/>
      <c r="AX121" s="146"/>
      <c r="AY121" s="146"/>
      <c r="AZ121" s="146"/>
      <c r="BA121" s="146"/>
      <c r="BB121" s="146"/>
      <c r="BC121" s="146"/>
      <c r="BD121" s="146"/>
      <c r="BE121" s="146"/>
      <c r="BF121" s="146"/>
      <c r="BG121" s="146"/>
      <c r="BH121" s="146"/>
      <c r="BI121" s="146"/>
      <c r="BJ121" s="146"/>
      <c r="BK121" s="146"/>
      <c r="BL121" s="146"/>
      <c r="BM121" s="146"/>
      <c r="BN121" s="146"/>
      <c r="BO121" s="146"/>
      <c r="BP121" s="146"/>
      <c r="BQ121" s="146"/>
      <c r="BR121" s="146"/>
      <c r="BS121" s="146"/>
      <c r="BT121" s="146"/>
      <c r="BU121" s="146"/>
      <c r="BV121" s="146"/>
      <c r="BW121" s="146"/>
      <c r="BX121" s="146"/>
      <c r="BY121" s="146"/>
      <c r="BZ121" s="146"/>
      <c r="CA121" s="146"/>
      <c r="CB121" s="146"/>
      <c r="CC121" s="146"/>
      <c r="CD121" s="146"/>
      <c r="CE121" s="146"/>
      <c r="CF121" s="146"/>
      <c r="CG121" s="146"/>
      <c r="CH121" s="146"/>
      <c r="CI121" s="146"/>
      <c r="CJ121" s="146"/>
      <c r="CK121" s="146"/>
      <c r="CL121" s="146"/>
      <c r="CM121" s="146"/>
      <c r="CN121" s="146"/>
      <c r="CO121" s="146"/>
      <c r="CP121" s="146"/>
      <c r="CQ121" s="146"/>
      <c r="CR121" s="146"/>
      <c r="CS121" s="146"/>
      <c r="CT121" s="146"/>
    </row>
    <row r="122" spans="30:98" ht="12"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  <c r="AW122" s="146"/>
      <c r="AX122" s="146"/>
      <c r="AY122" s="146"/>
      <c r="AZ122" s="146"/>
      <c r="BA122" s="146"/>
      <c r="BB122" s="146"/>
      <c r="BC122" s="146"/>
      <c r="BD122" s="146"/>
      <c r="BE122" s="146"/>
      <c r="BF122" s="146"/>
      <c r="BG122" s="146"/>
      <c r="BH122" s="146"/>
      <c r="BI122" s="146"/>
      <c r="BJ122" s="146"/>
      <c r="BK122" s="146"/>
      <c r="BL122" s="146"/>
      <c r="BM122" s="146"/>
      <c r="BN122" s="146"/>
      <c r="BO122" s="146"/>
      <c r="BP122" s="146"/>
      <c r="BQ122" s="146"/>
      <c r="BR122" s="146"/>
      <c r="BS122" s="146"/>
      <c r="BT122" s="146"/>
      <c r="BU122" s="146"/>
      <c r="BV122" s="146"/>
      <c r="BW122" s="146"/>
      <c r="BX122" s="146"/>
      <c r="BY122" s="146"/>
      <c r="BZ122" s="146"/>
      <c r="CA122" s="146"/>
      <c r="CB122" s="146"/>
      <c r="CC122" s="146"/>
      <c r="CD122" s="146"/>
      <c r="CE122" s="146"/>
      <c r="CF122" s="146"/>
      <c r="CG122" s="146"/>
      <c r="CH122" s="146"/>
      <c r="CI122" s="146"/>
      <c r="CJ122" s="146"/>
      <c r="CK122" s="146"/>
      <c r="CL122" s="146"/>
      <c r="CM122" s="146"/>
      <c r="CN122" s="146"/>
      <c r="CO122" s="146"/>
      <c r="CP122" s="146"/>
      <c r="CQ122" s="146"/>
      <c r="CR122" s="146"/>
      <c r="CS122" s="146"/>
      <c r="CT122" s="146"/>
    </row>
    <row r="123" spans="30:98" ht="12">
      <c r="AD123" s="146"/>
      <c r="AE123" s="146"/>
      <c r="AF123" s="146"/>
      <c r="AG123" s="146"/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6"/>
      <c r="AT123" s="146"/>
      <c r="AU123" s="146"/>
      <c r="AV123" s="146"/>
      <c r="AW123" s="146"/>
      <c r="AX123" s="146"/>
      <c r="AY123" s="146"/>
      <c r="AZ123" s="146"/>
      <c r="BA123" s="146"/>
      <c r="BB123" s="146"/>
      <c r="BC123" s="146"/>
      <c r="BD123" s="146"/>
      <c r="BE123" s="146"/>
      <c r="BF123" s="146"/>
      <c r="BG123" s="146"/>
      <c r="BH123" s="146"/>
      <c r="BI123" s="146"/>
      <c r="BJ123" s="146"/>
      <c r="BK123" s="146"/>
      <c r="BL123" s="146"/>
      <c r="BM123" s="146"/>
      <c r="BN123" s="146"/>
      <c r="BO123" s="146"/>
      <c r="BP123" s="146"/>
      <c r="BQ123" s="146"/>
      <c r="BR123" s="146"/>
      <c r="BS123" s="146"/>
      <c r="BT123" s="146"/>
      <c r="BU123" s="146"/>
      <c r="BV123" s="146"/>
      <c r="BW123" s="146"/>
      <c r="BX123" s="146"/>
      <c r="BY123" s="146"/>
      <c r="BZ123" s="146"/>
      <c r="CA123" s="146"/>
      <c r="CB123" s="146"/>
      <c r="CC123" s="146"/>
      <c r="CD123" s="146"/>
      <c r="CE123" s="146"/>
      <c r="CF123" s="146"/>
      <c r="CG123" s="146"/>
      <c r="CH123" s="146"/>
      <c r="CI123" s="146"/>
      <c r="CJ123" s="146"/>
      <c r="CK123" s="146"/>
      <c r="CL123" s="146"/>
      <c r="CM123" s="146"/>
      <c r="CN123" s="146"/>
      <c r="CO123" s="146"/>
      <c r="CP123" s="146"/>
      <c r="CQ123" s="146"/>
      <c r="CR123" s="146"/>
      <c r="CS123" s="146"/>
      <c r="CT123" s="146"/>
    </row>
    <row r="124" spans="30:98" ht="12">
      <c r="AD124" s="146"/>
      <c r="AE124" s="146"/>
      <c r="AF124" s="146"/>
      <c r="AG124" s="146"/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  <c r="AW124" s="146"/>
      <c r="AX124" s="146"/>
      <c r="AY124" s="146"/>
      <c r="AZ124" s="146"/>
      <c r="BA124" s="146"/>
      <c r="BB124" s="146"/>
      <c r="BC124" s="146"/>
      <c r="BD124" s="146"/>
      <c r="BE124" s="146"/>
      <c r="BF124" s="146"/>
      <c r="BG124" s="146"/>
      <c r="BH124" s="146"/>
      <c r="BI124" s="146"/>
      <c r="BJ124" s="146"/>
      <c r="BK124" s="146"/>
      <c r="BL124" s="146"/>
      <c r="BM124" s="146"/>
      <c r="BN124" s="146"/>
      <c r="BO124" s="146"/>
      <c r="BP124" s="146"/>
      <c r="BQ124" s="146"/>
      <c r="BR124" s="146"/>
      <c r="BS124" s="146"/>
      <c r="BT124" s="146"/>
      <c r="BU124" s="146"/>
      <c r="BV124" s="146"/>
      <c r="BW124" s="146"/>
      <c r="BX124" s="146"/>
      <c r="BY124" s="146"/>
      <c r="BZ124" s="146"/>
      <c r="CA124" s="146"/>
      <c r="CB124" s="146"/>
      <c r="CC124" s="146"/>
      <c r="CD124" s="146"/>
      <c r="CE124" s="146"/>
      <c r="CF124" s="146"/>
      <c r="CG124" s="146"/>
      <c r="CH124" s="146"/>
      <c r="CI124" s="146"/>
      <c r="CJ124" s="146"/>
      <c r="CK124" s="146"/>
      <c r="CL124" s="146"/>
      <c r="CM124" s="146"/>
      <c r="CN124" s="146"/>
      <c r="CO124" s="146"/>
      <c r="CP124" s="146"/>
      <c r="CQ124" s="146"/>
      <c r="CR124" s="146"/>
      <c r="CS124" s="146"/>
      <c r="CT124" s="146"/>
    </row>
    <row r="125" spans="30:98" ht="12"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6"/>
      <c r="AW125" s="146"/>
      <c r="AX125" s="146"/>
      <c r="AY125" s="146"/>
      <c r="AZ125" s="146"/>
      <c r="BA125" s="146"/>
      <c r="BB125" s="146"/>
      <c r="BC125" s="146"/>
      <c r="BD125" s="146"/>
      <c r="BE125" s="146"/>
      <c r="BF125" s="146"/>
      <c r="BG125" s="146"/>
      <c r="BH125" s="146"/>
      <c r="BI125" s="146"/>
      <c r="BJ125" s="146"/>
      <c r="BK125" s="146"/>
      <c r="BL125" s="146"/>
      <c r="BM125" s="146"/>
      <c r="BN125" s="146"/>
      <c r="BO125" s="146"/>
      <c r="BP125" s="146"/>
      <c r="BQ125" s="146"/>
      <c r="BR125" s="146"/>
      <c r="BS125" s="146"/>
      <c r="BT125" s="146"/>
      <c r="BU125" s="146"/>
      <c r="BV125" s="146"/>
      <c r="BW125" s="146"/>
      <c r="BX125" s="146"/>
      <c r="BY125" s="146"/>
      <c r="BZ125" s="146"/>
      <c r="CA125" s="146"/>
      <c r="CB125" s="146"/>
      <c r="CC125" s="146"/>
      <c r="CD125" s="146"/>
      <c r="CE125" s="146"/>
      <c r="CF125" s="146"/>
      <c r="CG125" s="146"/>
      <c r="CH125" s="146"/>
      <c r="CI125" s="146"/>
      <c r="CJ125" s="146"/>
      <c r="CK125" s="146"/>
      <c r="CL125" s="146"/>
      <c r="CM125" s="146"/>
      <c r="CN125" s="146"/>
      <c r="CO125" s="146"/>
      <c r="CP125" s="146"/>
      <c r="CQ125" s="146"/>
      <c r="CR125" s="146"/>
      <c r="CS125" s="146"/>
      <c r="CT125" s="146"/>
    </row>
    <row r="126" spans="30:98" ht="12"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  <c r="BI126" s="146"/>
      <c r="BJ126" s="146"/>
      <c r="BK126" s="146"/>
      <c r="BL126" s="146"/>
      <c r="BM126" s="146"/>
      <c r="BN126" s="146"/>
      <c r="BO126" s="146"/>
      <c r="BP126" s="146"/>
      <c r="BQ126" s="146"/>
      <c r="BR126" s="146"/>
      <c r="BS126" s="146"/>
      <c r="BT126" s="146"/>
      <c r="BU126" s="146"/>
      <c r="BV126" s="146"/>
      <c r="BW126" s="146"/>
      <c r="BX126" s="146"/>
      <c r="BY126" s="146"/>
      <c r="BZ126" s="146"/>
      <c r="CA126" s="146"/>
      <c r="CB126" s="146"/>
      <c r="CC126" s="146"/>
      <c r="CD126" s="146"/>
      <c r="CE126" s="146"/>
      <c r="CF126" s="146"/>
      <c r="CG126" s="146"/>
      <c r="CH126" s="146"/>
      <c r="CI126" s="146"/>
      <c r="CJ126" s="146"/>
      <c r="CK126" s="146"/>
      <c r="CL126" s="146"/>
      <c r="CM126" s="146"/>
      <c r="CN126" s="146"/>
      <c r="CO126" s="146"/>
      <c r="CP126" s="146"/>
      <c r="CQ126" s="146"/>
      <c r="CR126" s="146"/>
      <c r="CS126" s="146"/>
      <c r="CT126" s="146"/>
    </row>
    <row r="127" spans="30:98" ht="12">
      <c r="AD127" s="146"/>
      <c r="AE127" s="146"/>
      <c r="AF127" s="146"/>
      <c r="AG127" s="146"/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6"/>
      <c r="BB127" s="146"/>
      <c r="BC127" s="146"/>
      <c r="BD127" s="146"/>
      <c r="BE127" s="146"/>
      <c r="BF127" s="146"/>
      <c r="BG127" s="146"/>
      <c r="BH127" s="146"/>
      <c r="BI127" s="146"/>
      <c r="BJ127" s="146"/>
      <c r="BK127" s="146"/>
      <c r="BL127" s="146"/>
      <c r="BM127" s="146"/>
      <c r="BN127" s="146"/>
      <c r="BO127" s="146"/>
      <c r="BP127" s="146"/>
      <c r="BQ127" s="146"/>
      <c r="BR127" s="146"/>
      <c r="BS127" s="146"/>
      <c r="BT127" s="146"/>
      <c r="BU127" s="146"/>
      <c r="BV127" s="146"/>
      <c r="BW127" s="146"/>
      <c r="BX127" s="146"/>
      <c r="BY127" s="146"/>
      <c r="BZ127" s="146"/>
      <c r="CA127" s="146"/>
      <c r="CB127" s="146"/>
      <c r="CC127" s="146"/>
      <c r="CD127" s="146"/>
      <c r="CE127" s="146"/>
      <c r="CF127" s="146"/>
      <c r="CG127" s="146"/>
      <c r="CH127" s="146"/>
      <c r="CI127" s="146"/>
      <c r="CJ127" s="146"/>
      <c r="CK127" s="146"/>
      <c r="CL127" s="146"/>
      <c r="CM127" s="146"/>
      <c r="CN127" s="146"/>
      <c r="CO127" s="146"/>
      <c r="CP127" s="146"/>
      <c r="CQ127" s="146"/>
      <c r="CR127" s="146"/>
      <c r="CS127" s="146"/>
      <c r="CT127" s="146"/>
    </row>
    <row r="128" spans="30:98" ht="12">
      <c r="AD128" s="146"/>
      <c r="AE128" s="146"/>
      <c r="AF128" s="146"/>
      <c r="AG128" s="146"/>
      <c r="AH128" s="146"/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46"/>
      <c r="AS128" s="146"/>
      <c r="AT128" s="146"/>
      <c r="AU128" s="146"/>
      <c r="AV128" s="146"/>
      <c r="AW128" s="146"/>
      <c r="AX128" s="146"/>
      <c r="AY128" s="146"/>
      <c r="AZ128" s="146"/>
      <c r="BA128" s="146"/>
      <c r="BB128" s="146"/>
      <c r="BC128" s="146"/>
      <c r="BD128" s="146"/>
      <c r="BE128" s="146"/>
      <c r="BF128" s="146"/>
      <c r="BG128" s="146"/>
      <c r="BH128" s="146"/>
      <c r="BI128" s="146"/>
      <c r="BJ128" s="146"/>
      <c r="BK128" s="146"/>
      <c r="BL128" s="146"/>
      <c r="BM128" s="146"/>
      <c r="BN128" s="146"/>
      <c r="BO128" s="146"/>
      <c r="BP128" s="146"/>
      <c r="BQ128" s="146"/>
      <c r="BR128" s="146"/>
      <c r="BS128" s="146"/>
      <c r="BT128" s="146"/>
      <c r="BU128" s="146"/>
      <c r="BV128" s="146"/>
      <c r="BW128" s="146"/>
      <c r="BX128" s="146"/>
      <c r="BY128" s="146"/>
      <c r="BZ128" s="146"/>
      <c r="CA128" s="146"/>
      <c r="CB128" s="146"/>
      <c r="CC128" s="146"/>
      <c r="CD128" s="146"/>
      <c r="CE128" s="146"/>
      <c r="CF128" s="146"/>
      <c r="CG128" s="146"/>
      <c r="CH128" s="146"/>
      <c r="CI128" s="146"/>
      <c r="CJ128" s="146"/>
      <c r="CK128" s="146"/>
      <c r="CL128" s="146"/>
      <c r="CM128" s="146"/>
      <c r="CN128" s="146"/>
      <c r="CO128" s="146"/>
      <c r="CP128" s="146"/>
      <c r="CQ128" s="146"/>
      <c r="CR128" s="146"/>
      <c r="CS128" s="146"/>
      <c r="CT128" s="146"/>
    </row>
    <row r="129" spans="30:98" ht="12">
      <c r="AD129" s="146"/>
      <c r="AE129" s="146"/>
      <c r="AF129" s="146"/>
      <c r="AG129" s="146"/>
      <c r="AH129" s="146"/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146"/>
      <c r="BD129" s="146"/>
      <c r="BE129" s="146"/>
      <c r="BF129" s="146"/>
      <c r="BG129" s="146"/>
      <c r="BH129" s="146"/>
      <c r="BI129" s="146"/>
      <c r="BJ129" s="146"/>
      <c r="BK129" s="146"/>
      <c r="BL129" s="146"/>
      <c r="BM129" s="146"/>
      <c r="BN129" s="146"/>
      <c r="BO129" s="146"/>
      <c r="BP129" s="146"/>
      <c r="BQ129" s="146"/>
      <c r="BR129" s="146"/>
      <c r="BS129" s="146"/>
      <c r="BT129" s="146"/>
      <c r="BU129" s="146"/>
      <c r="BV129" s="146"/>
      <c r="BW129" s="146"/>
      <c r="BX129" s="146"/>
      <c r="BY129" s="146"/>
      <c r="BZ129" s="146"/>
      <c r="CA129" s="146"/>
      <c r="CB129" s="146"/>
      <c r="CC129" s="146"/>
      <c r="CD129" s="146"/>
      <c r="CE129" s="146"/>
      <c r="CF129" s="146"/>
      <c r="CG129" s="146"/>
      <c r="CH129" s="146"/>
      <c r="CI129" s="146"/>
      <c r="CJ129" s="146"/>
      <c r="CK129" s="146"/>
      <c r="CL129" s="146"/>
      <c r="CM129" s="146"/>
      <c r="CN129" s="146"/>
      <c r="CO129" s="146"/>
      <c r="CP129" s="146"/>
      <c r="CQ129" s="146"/>
      <c r="CR129" s="146"/>
      <c r="CS129" s="146"/>
      <c r="CT129" s="146"/>
    </row>
    <row r="130" spans="30:98" ht="12">
      <c r="AD130" s="146"/>
      <c r="AE130" s="146"/>
      <c r="AF130" s="146"/>
      <c r="AG130" s="146"/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  <c r="BI130" s="146"/>
      <c r="BJ130" s="146"/>
      <c r="BK130" s="146"/>
      <c r="BL130" s="146"/>
      <c r="BM130" s="146"/>
      <c r="BN130" s="146"/>
      <c r="BO130" s="146"/>
      <c r="BP130" s="146"/>
      <c r="BQ130" s="146"/>
      <c r="BR130" s="146"/>
      <c r="BS130" s="146"/>
      <c r="BT130" s="146"/>
      <c r="BU130" s="146"/>
      <c r="BV130" s="146"/>
      <c r="BW130" s="146"/>
      <c r="BX130" s="146"/>
      <c r="BY130" s="146"/>
      <c r="BZ130" s="146"/>
      <c r="CA130" s="146"/>
      <c r="CB130" s="146"/>
      <c r="CC130" s="146"/>
      <c r="CD130" s="146"/>
      <c r="CE130" s="146"/>
      <c r="CF130" s="146"/>
      <c r="CG130" s="146"/>
      <c r="CH130" s="146"/>
      <c r="CI130" s="146"/>
      <c r="CJ130" s="146"/>
      <c r="CK130" s="146"/>
      <c r="CL130" s="146"/>
      <c r="CM130" s="146"/>
      <c r="CN130" s="146"/>
      <c r="CO130" s="146"/>
      <c r="CP130" s="146"/>
      <c r="CQ130" s="146"/>
      <c r="CR130" s="146"/>
      <c r="CS130" s="146"/>
      <c r="CT130" s="146"/>
    </row>
    <row r="131" spans="30:98" ht="12">
      <c r="AD131" s="146"/>
      <c r="AE131" s="146"/>
      <c r="AF131" s="146"/>
      <c r="AG131" s="146"/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6"/>
      <c r="AU131" s="146"/>
      <c r="AV131" s="146"/>
      <c r="AW131" s="146"/>
      <c r="AX131" s="146"/>
      <c r="AY131" s="146"/>
      <c r="AZ131" s="146"/>
      <c r="BA131" s="146"/>
      <c r="BB131" s="146"/>
      <c r="BC131" s="146"/>
      <c r="BD131" s="146"/>
      <c r="BE131" s="146"/>
      <c r="BF131" s="146"/>
      <c r="BG131" s="146"/>
      <c r="BH131" s="146"/>
      <c r="BI131" s="146"/>
      <c r="BJ131" s="146"/>
      <c r="BK131" s="146"/>
      <c r="BL131" s="146"/>
      <c r="BM131" s="146"/>
      <c r="BN131" s="146"/>
      <c r="BO131" s="146"/>
      <c r="BP131" s="146"/>
      <c r="BQ131" s="146"/>
      <c r="BR131" s="146"/>
      <c r="BS131" s="146"/>
      <c r="BT131" s="146"/>
      <c r="BU131" s="146"/>
      <c r="BV131" s="146"/>
      <c r="BW131" s="146"/>
      <c r="BX131" s="146"/>
      <c r="BY131" s="146"/>
      <c r="BZ131" s="146"/>
      <c r="CA131" s="146"/>
      <c r="CB131" s="146"/>
      <c r="CC131" s="146"/>
      <c r="CD131" s="146"/>
      <c r="CE131" s="146"/>
      <c r="CF131" s="146"/>
      <c r="CG131" s="146"/>
      <c r="CH131" s="146"/>
      <c r="CI131" s="146"/>
      <c r="CJ131" s="146"/>
      <c r="CK131" s="146"/>
      <c r="CL131" s="146"/>
      <c r="CM131" s="146"/>
      <c r="CN131" s="146"/>
      <c r="CO131" s="146"/>
      <c r="CP131" s="146"/>
      <c r="CQ131" s="146"/>
      <c r="CR131" s="146"/>
      <c r="CS131" s="146"/>
      <c r="CT131" s="146"/>
    </row>
    <row r="132" spans="30:98" ht="12">
      <c r="AD132" s="146"/>
      <c r="AE132" s="146"/>
      <c r="AF132" s="146"/>
      <c r="AG132" s="146"/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6"/>
      <c r="AU132" s="146"/>
      <c r="AV132" s="146"/>
      <c r="AW132" s="146"/>
      <c r="AX132" s="146"/>
      <c r="AY132" s="146"/>
      <c r="AZ132" s="146"/>
      <c r="BA132" s="146"/>
      <c r="BB132" s="146"/>
      <c r="BC132" s="146"/>
      <c r="BD132" s="146"/>
      <c r="BE132" s="146"/>
      <c r="BF132" s="146"/>
      <c r="BG132" s="146"/>
      <c r="BH132" s="146"/>
      <c r="BI132" s="146"/>
      <c r="BJ132" s="146"/>
      <c r="BK132" s="146"/>
      <c r="BL132" s="146"/>
      <c r="BM132" s="146"/>
      <c r="BN132" s="146"/>
      <c r="BO132" s="146"/>
      <c r="BP132" s="146"/>
      <c r="BQ132" s="146"/>
      <c r="BR132" s="146"/>
      <c r="BS132" s="146"/>
      <c r="BT132" s="146"/>
      <c r="BU132" s="146"/>
      <c r="BV132" s="146"/>
      <c r="BW132" s="146"/>
      <c r="BX132" s="146"/>
      <c r="BY132" s="146"/>
      <c r="BZ132" s="146"/>
      <c r="CA132" s="146"/>
      <c r="CB132" s="146"/>
      <c r="CC132" s="146"/>
      <c r="CD132" s="146"/>
      <c r="CE132" s="146"/>
      <c r="CF132" s="146"/>
      <c r="CG132" s="146"/>
      <c r="CH132" s="146"/>
      <c r="CI132" s="146"/>
      <c r="CJ132" s="146"/>
      <c r="CK132" s="146"/>
      <c r="CL132" s="146"/>
      <c r="CM132" s="146"/>
      <c r="CN132" s="146"/>
      <c r="CO132" s="146"/>
      <c r="CP132" s="146"/>
      <c r="CQ132" s="146"/>
      <c r="CR132" s="146"/>
      <c r="CS132" s="146"/>
      <c r="CT132" s="146"/>
    </row>
    <row r="133" spans="30:98" ht="12">
      <c r="AD133" s="146"/>
      <c r="AE133" s="146"/>
      <c r="AF133" s="146"/>
      <c r="AG133" s="146"/>
      <c r="AH133" s="146"/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46"/>
      <c r="AS133" s="146"/>
      <c r="AT133" s="146"/>
      <c r="AU133" s="146"/>
      <c r="AV133" s="146"/>
      <c r="AW133" s="146"/>
      <c r="AX133" s="146"/>
      <c r="AY133" s="146"/>
      <c r="AZ133" s="146"/>
      <c r="BA133" s="146"/>
      <c r="BB133" s="146"/>
      <c r="BC133" s="146"/>
      <c r="BD133" s="146"/>
      <c r="BE133" s="146"/>
      <c r="BF133" s="146"/>
      <c r="BG133" s="146"/>
      <c r="BH133" s="146"/>
      <c r="BI133" s="146"/>
      <c r="BJ133" s="146"/>
      <c r="BK133" s="146"/>
      <c r="BL133" s="146"/>
      <c r="BM133" s="146"/>
      <c r="BN133" s="146"/>
      <c r="BO133" s="146"/>
      <c r="BP133" s="146"/>
      <c r="BQ133" s="146"/>
      <c r="BR133" s="146"/>
      <c r="BS133" s="146"/>
      <c r="BT133" s="146"/>
      <c r="BU133" s="146"/>
      <c r="BV133" s="146"/>
      <c r="BW133" s="146"/>
      <c r="BX133" s="146"/>
      <c r="BY133" s="146"/>
      <c r="BZ133" s="146"/>
      <c r="CA133" s="146"/>
      <c r="CB133" s="146"/>
      <c r="CC133" s="146"/>
      <c r="CD133" s="146"/>
      <c r="CE133" s="146"/>
      <c r="CF133" s="146"/>
      <c r="CG133" s="146"/>
      <c r="CH133" s="146"/>
      <c r="CI133" s="146"/>
      <c r="CJ133" s="146"/>
      <c r="CK133" s="146"/>
      <c r="CL133" s="146"/>
      <c r="CM133" s="146"/>
      <c r="CN133" s="146"/>
      <c r="CO133" s="146"/>
      <c r="CP133" s="146"/>
      <c r="CQ133" s="146"/>
      <c r="CR133" s="146"/>
      <c r="CS133" s="146"/>
      <c r="CT133" s="146"/>
    </row>
    <row r="134" spans="30:98" ht="12">
      <c r="AD134" s="146"/>
      <c r="AE134" s="146"/>
      <c r="AF134" s="146"/>
      <c r="AG134" s="146"/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  <c r="BI134" s="146"/>
      <c r="BJ134" s="146"/>
      <c r="BK134" s="146"/>
      <c r="BL134" s="146"/>
      <c r="BM134" s="146"/>
      <c r="BN134" s="146"/>
      <c r="BO134" s="146"/>
      <c r="BP134" s="146"/>
      <c r="BQ134" s="146"/>
      <c r="BR134" s="146"/>
      <c r="BS134" s="146"/>
      <c r="BT134" s="146"/>
      <c r="BU134" s="146"/>
      <c r="BV134" s="146"/>
      <c r="BW134" s="146"/>
      <c r="BX134" s="146"/>
      <c r="BY134" s="146"/>
      <c r="BZ134" s="146"/>
      <c r="CA134" s="146"/>
      <c r="CB134" s="146"/>
      <c r="CC134" s="146"/>
      <c r="CD134" s="146"/>
      <c r="CE134" s="146"/>
      <c r="CF134" s="146"/>
      <c r="CG134" s="146"/>
      <c r="CH134" s="146"/>
      <c r="CI134" s="146"/>
      <c r="CJ134" s="146"/>
      <c r="CK134" s="146"/>
      <c r="CL134" s="146"/>
      <c r="CM134" s="146"/>
      <c r="CN134" s="146"/>
      <c r="CO134" s="146"/>
      <c r="CP134" s="146"/>
      <c r="CQ134" s="146"/>
      <c r="CR134" s="146"/>
      <c r="CS134" s="146"/>
      <c r="CT134" s="146"/>
    </row>
    <row r="135" spans="30:98" ht="12">
      <c r="AD135" s="146"/>
      <c r="AE135" s="146"/>
      <c r="AF135" s="146"/>
      <c r="AG135" s="146"/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6"/>
      <c r="AV135" s="146"/>
      <c r="AW135" s="146"/>
      <c r="AX135" s="146"/>
      <c r="AY135" s="146"/>
      <c r="AZ135" s="146"/>
      <c r="BA135" s="146"/>
      <c r="BB135" s="146"/>
      <c r="BC135" s="146"/>
      <c r="BD135" s="146"/>
      <c r="BE135" s="146"/>
      <c r="BF135" s="146"/>
      <c r="BG135" s="146"/>
      <c r="BH135" s="146"/>
      <c r="BI135" s="146"/>
      <c r="BJ135" s="146"/>
      <c r="BK135" s="146"/>
      <c r="BL135" s="146"/>
      <c r="BM135" s="146"/>
      <c r="BN135" s="146"/>
      <c r="BO135" s="146"/>
      <c r="BP135" s="146"/>
      <c r="BQ135" s="146"/>
      <c r="BR135" s="146"/>
      <c r="BS135" s="146"/>
      <c r="BT135" s="146"/>
      <c r="BU135" s="146"/>
      <c r="BV135" s="146"/>
      <c r="BW135" s="146"/>
      <c r="BX135" s="146"/>
      <c r="BY135" s="146"/>
      <c r="BZ135" s="146"/>
      <c r="CA135" s="146"/>
      <c r="CB135" s="146"/>
      <c r="CC135" s="146"/>
      <c r="CD135" s="146"/>
      <c r="CE135" s="146"/>
      <c r="CF135" s="146"/>
      <c r="CG135" s="146"/>
      <c r="CH135" s="146"/>
      <c r="CI135" s="146"/>
      <c r="CJ135" s="146"/>
      <c r="CK135" s="146"/>
      <c r="CL135" s="146"/>
      <c r="CM135" s="146"/>
      <c r="CN135" s="146"/>
      <c r="CO135" s="146"/>
      <c r="CP135" s="146"/>
      <c r="CQ135" s="146"/>
      <c r="CR135" s="146"/>
      <c r="CS135" s="146"/>
      <c r="CT135" s="146"/>
    </row>
    <row r="136" spans="30:98" ht="12">
      <c r="AD136" s="146"/>
      <c r="AE136" s="146"/>
      <c r="AF136" s="146"/>
      <c r="AG136" s="146"/>
      <c r="AH136" s="146"/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6"/>
      <c r="AU136" s="146"/>
      <c r="AV136" s="146"/>
      <c r="AW136" s="146"/>
      <c r="AX136" s="146"/>
      <c r="AY136" s="146"/>
      <c r="AZ136" s="146"/>
      <c r="BA136" s="146"/>
      <c r="BB136" s="146"/>
      <c r="BC136" s="146"/>
      <c r="BD136" s="146"/>
      <c r="BE136" s="146"/>
      <c r="BF136" s="146"/>
      <c r="BG136" s="146"/>
      <c r="BH136" s="146"/>
      <c r="BI136" s="146"/>
      <c r="BJ136" s="146"/>
      <c r="BK136" s="146"/>
      <c r="BL136" s="146"/>
      <c r="BM136" s="146"/>
      <c r="BN136" s="146"/>
      <c r="BO136" s="146"/>
      <c r="BP136" s="146"/>
      <c r="BQ136" s="146"/>
      <c r="BR136" s="146"/>
      <c r="BS136" s="146"/>
      <c r="BT136" s="146"/>
      <c r="BU136" s="146"/>
      <c r="BV136" s="146"/>
      <c r="BW136" s="146"/>
      <c r="BX136" s="146"/>
      <c r="BY136" s="146"/>
      <c r="BZ136" s="146"/>
      <c r="CA136" s="146"/>
      <c r="CB136" s="146"/>
      <c r="CC136" s="146"/>
      <c r="CD136" s="146"/>
      <c r="CE136" s="146"/>
      <c r="CF136" s="146"/>
      <c r="CG136" s="146"/>
      <c r="CH136" s="146"/>
      <c r="CI136" s="146"/>
      <c r="CJ136" s="146"/>
      <c r="CK136" s="146"/>
      <c r="CL136" s="146"/>
      <c r="CM136" s="146"/>
      <c r="CN136" s="146"/>
      <c r="CO136" s="146"/>
      <c r="CP136" s="146"/>
      <c r="CQ136" s="146"/>
      <c r="CR136" s="146"/>
      <c r="CS136" s="146"/>
      <c r="CT136" s="146"/>
    </row>
    <row r="137" spans="30:98" ht="12">
      <c r="AD137" s="146"/>
      <c r="AE137" s="146"/>
      <c r="AF137" s="146"/>
      <c r="AG137" s="146"/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  <c r="AS137" s="146"/>
      <c r="AT137" s="146"/>
      <c r="AU137" s="146"/>
      <c r="AV137" s="146"/>
      <c r="AW137" s="146"/>
      <c r="AX137" s="146"/>
      <c r="AY137" s="146"/>
      <c r="AZ137" s="146"/>
      <c r="BA137" s="146"/>
      <c r="BB137" s="146"/>
      <c r="BC137" s="146"/>
      <c r="BD137" s="146"/>
      <c r="BE137" s="146"/>
      <c r="BF137" s="146"/>
      <c r="BG137" s="146"/>
      <c r="BH137" s="146"/>
      <c r="BI137" s="146"/>
      <c r="BJ137" s="146"/>
      <c r="BK137" s="146"/>
      <c r="BL137" s="146"/>
      <c r="BM137" s="146"/>
      <c r="BN137" s="146"/>
      <c r="BO137" s="146"/>
      <c r="BP137" s="146"/>
      <c r="BQ137" s="146"/>
      <c r="BR137" s="146"/>
      <c r="BS137" s="146"/>
      <c r="BT137" s="146"/>
      <c r="BU137" s="146"/>
      <c r="BV137" s="146"/>
      <c r="BW137" s="146"/>
      <c r="BX137" s="146"/>
      <c r="BY137" s="146"/>
      <c r="BZ137" s="146"/>
      <c r="CA137" s="146"/>
      <c r="CB137" s="146"/>
      <c r="CC137" s="146"/>
      <c r="CD137" s="146"/>
      <c r="CE137" s="146"/>
      <c r="CF137" s="146"/>
      <c r="CG137" s="146"/>
      <c r="CH137" s="146"/>
      <c r="CI137" s="146"/>
      <c r="CJ137" s="146"/>
      <c r="CK137" s="146"/>
      <c r="CL137" s="146"/>
      <c r="CM137" s="146"/>
      <c r="CN137" s="146"/>
      <c r="CO137" s="146"/>
      <c r="CP137" s="146"/>
      <c r="CQ137" s="146"/>
      <c r="CR137" s="146"/>
      <c r="CS137" s="146"/>
      <c r="CT137" s="146"/>
    </row>
    <row r="138" spans="30:98" ht="12">
      <c r="AD138" s="146"/>
      <c r="AE138" s="146"/>
      <c r="AF138" s="146"/>
      <c r="AG138" s="146"/>
      <c r="AH138" s="146"/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46"/>
      <c r="AS138" s="146"/>
      <c r="AT138" s="146"/>
      <c r="AU138" s="146"/>
      <c r="AV138" s="146"/>
      <c r="AW138" s="146"/>
      <c r="AX138" s="146"/>
      <c r="AY138" s="146"/>
      <c r="AZ138" s="146"/>
      <c r="BA138" s="146"/>
      <c r="BB138" s="146"/>
      <c r="BC138" s="146"/>
      <c r="BD138" s="146"/>
      <c r="BE138" s="146"/>
      <c r="BF138" s="146"/>
      <c r="BG138" s="146"/>
      <c r="BH138" s="146"/>
      <c r="BI138" s="146"/>
      <c r="BJ138" s="146"/>
      <c r="BK138" s="146"/>
      <c r="BL138" s="146"/>
      <c r="BM138" s="146"/>
      <c r="BN138" s="146"/>
      <c r="BO138" s="146"/>
      <c r="BP138" s="146"/>
      <c r="BQ138" s="146"/>
      <c r="BR138" s="146"/>
      <c r="BS138" s="146"/>
      <c r="BT138" s="146"/>
      <c r="BU138" s="146"/>
      <c r="BV138" s="146"/>
      <c r="BW138" s="146"/>
      <c r="BX138" s="146"/>
      <c r="BY138" s="146"/>
      <c r="BZ138" s="146"/>
      <c r="CA138" s="146"/>
      <c r="CB138" s="146"/>
      <c r="CC138" s="146"/>
      <c r="CD138" s="146"/>
      <c r="CE138" s="146"/>
      <c r="CF138" s="146"/>
      <c r="CG138" s="146"/>
      <c r="CH138" s="146"/>
      <c r="CI138" s="146"/>
      <c r="CJ138" s="146"/>
      <c r="CK138" s="146"/>
      <c r="CL138" s="146"/>
      <c r="CM138" s="146"/>
      <c r="CN138" s="146"/>
      <c r="CO138" s="146"/>
      <c r="CP138" s="146"/>
      <c r="CQ138" s="146"/>
      <c r="CR138" s="146"/>
      <c r="CS138" s="146"/>
      <c r="CT138" s="146"/>
    </row>
    <row r="139" spans="30:98" ht="12">
      <c r="AD139" s="146"/>
      <c r="AE139" s="146"/>
      <c r="AF139" s="146"/>
      <c r="AG139" s="146"/>
      <c r="AH139" s="146"/>
      <c r="AI139" s="146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6"/>
      <c r="AU139" s="146"/>
      <c r="AV139" s="146"/>
      <c r="AW139" s="146"/>
      <c r="AX139" s="146"/>
      <c r="AY139" s="146"/>
      <c r="AZ139" s="146"/>
      <c r="BA139" s="146"/>
      <c r="BB139" s="146"/>
      <c r="BC139" s="146"/>
      <c r="BD139" s="146"/>
      <c r="BE139" s="146"/>
      <c r="BF139" s="146"/>
      <c r="BG139" s="146"/>
      <c r="BH139" s="146"/>
      <c r="BI139" s="146"/>
      <c r="BJ139" s="146"/>
      <c r="BK139" s="146"/>
      <c r="BL139" s="146"/>
      <c r="BM139" s="146"/>
      <c r="BN139" s="146"/>
      <c r="BO139" s="146"/>
      <c r="BP139" s="146"/>
      <c r="BQ139" s="146"/>
      <c r="BR139" s="146"/>
      <c r="BS139" s="146"/>
      <c r="BT139" s="146"/>
      <c r="BU139" s="146"/>
      <c r="BV139" s="146"/>
      <c r="BW139" s="146"/>
      <c r="BX139" s="146"/>
      <c r="BY139" s="146"/>
      <c r="BZ139" s="146"/>
      <c r="CA139" s="146"/>
      <c r="CB139" s="146"/>
      <c r="CC139" s="146"/>
      <c r="CD139" s="146"/>
      <c r="CE139" s="146"/>
      <c r="CF139" s="146"/>
      <c r="CG139" s="146"/>
      <c r="CH139" s="146"/>
      <c r="CI139" s="146"/>
      <c r="CJ139" s="146"/>
      <c r="CK139" s="146"/>
      <c r="CL139" s="146"/>
      <c r="CM139" s="146"/>
      <c r="CN139" s="146"/>
      <c r="CO139" s="146"/>
      <c r="CP139" s="146"/>
      <c r="CQ139" s="146"/>
      <c r="CR139" s="146"/>
      <c r="CS139" s="146"/>
      <c r="CT139" s="146"/>
    </row>
    <row r="140" spans="30:98" ht="12">
      <c r="AD140" s="146"/>
      <c r="AE140" s="146"/>
      <c r="AF140" s="146"/>
      <c r="AG140" s="146"/>
      <c r="AH140" s="146"/>
      <c r="AI140" s="146"/>
      <c r="AJ140" s="146"/>
      <c r="AK140" s="146"/>
      <c r="AL140" s="146"/>
      <c r="AM140" s="146"/>
      <c r="AN140" s="146"/>
      <c r="AO140" s="146"/>
      <c r="AP140" s="146"/>
      <c r="AQ140" s="146"/>
      <c r="AR140" s="146"/>
      <c r="AS140" s="146"/>
      <c r="AT140" s="146"/>
      <c r="AU140" s="146"/>
      <c r="AV140" s="146"/>
      <c r="AW140" s="146"/>
      <c r="AX140" s="146"/>
      <c r="AY140" s="146"/>
      <c r="AZ140" s="146"/>
      <c r="BA140" s="146"/>
      <c r="BB140" s="146"/>
      <c r="BC140" s="146"/>
      <c r="BD140" s="146"/>
      <c r="BE140" s="146"/>
      <c r="BF140" s="146"/>
      <c r="BG140" s="146"/>
      <c r="BH140" s="146"/>
      <c r="BI140" s="146"/>
      <c r="BJ140" s="146"/>
      <c r="BK140" s="146"/>
      <c r="BL140" s="146"/>
      <c r="BM140" s="146"/>
      <c r="BN140" s="146"/>
      <c r="BO140" s="146"/>
      <c r="BP140" s="146"/>
      <c r="BQ140" s="146"/>
      <c r="BR140" s="146"/>
      <c r="BS140" s="146"/>
      <c r="BT140" s="146"/>
      <c r="BU140" s="146"/>
      <c r="BV140" s="146"/>
      <c r="BW140" s="146"/>
      <c r="BX140" s="146"/>
      <c r="BY140" s="146"/>
      <c r="BZ140" s="146"/>
      <c r="CA140" s="146"/>
      <c r="CB140" s="146"/>
      <c r="CC140" s="146"/>
      <c r="CD140" s="146"/>
      <c r="CE140" s="146"/>
      <c r="CF140" s="146"/>
      <c r="CG140" s="146"/>
      <c r="CH140" s="146"/>
      <c r="CI140" s="146"/>
      <c r="CJ140" s="146"/>
      <c r="CK140" s="146"/>
      <c r="CL140" s="146"/>
      <c r="CM140" s="146"/>
      <c r="CN140" s="146"/>
      <c r="CO140" s="146"/>
      <c r="CP140" s="146"/>
      <c r="CQ140" s="146"/>
      <c r="CR140" s="146"/>
      <c r="CS140" s="146"/>
      <c r="CT140" s="146"/>
    </row>
    <row r="141" spans="30:98" ht="12">
      <c r="AD141" s="146"/>
      <c r="AE141" s="146"/>
      <c r="AF141" s="146"/>
      <c r="AG141" s="146"/>
      <c r="AH141" s="146"/>
      <c r="AI141" s="146"/>
      <c r="AJ141" s="146"/>
      <c r="AK141" s="146"/>
      <c r="AL141" s="146"/>
      <c r="AM141" s="146"/>
      <c r="AN141" s="146"/>
      <c r="AO141" s="146"/>
      <c r="AP141" s="146"/>
      <c r="AQ141" s="146"/>
      <c r="AR141" s="146"/>
      <c r="AS141" s="146"/>
      <c r="AT141" s="146"/>
      <c r="AU141" s="146"/>
      <c r="AV141" s="146"/>
      <c r="AW141" s="146"/>
      <c r="AX141" s="146"/>
      <c r="AY141" s="146"/>
      <c r="AZ141" s="146"/>
      <c r="BA141" s="146"/>
      <c r="BB141" s="146"/>
      <c r="BC141" s="146"/>
      <c r="BD141" s="146"/>
      <c r="BE141" s="146"/>
      <c r="BF141" s="146"/>
      <c r="BG141" s="146"/>
      <c r="BH141" s="146"/>
      <c r="BI141" s="146"/>
      <c r="BJ141" s="146"/>
      <c r="BK141" s="146"/>
      <c r="BL141" s="146"/>
      <c r="BM141" s="146"/>
      <c r="BN141" s="146"/>
      <c r="BO141" s="146"/>
      <c r="BP141" s="146"/>
      <c r="BQ141" s="146"/>
      <c r="BR141" s="146"/>
      <c r="BS141" s="146"/>
      <c r="BT141" s="146"/>
      <c r="BU141" s="146"/>
      <c r="BV141" s="146"/>
      <c r="BW141" s="146"/>
      <c r="BX141" s="146"/>
      <c r="BY141" s="146"/>
      <c r="BZ141" s="146"/>
      <c r="CA141" s="146"/>
      <c r="CB141" s="146"/>
      <c r="CC141" s="146"/>
      <c r="CD141" s="146"/>
      <c r="CE141" s="146"/>
      <c r="CF141" s="146"/>
      <c r="CG141" s="146"/>
      <c r="CH141" s="146"/>
      <c r="CI141" s="146"/>
      <c r="CJ141" s="146"/>
      <c r="CK141" s="146"/>
      <c r="CL141" s="146"/>
      <c r="CM141" s="146"/>
      <c r="CN141" s="146"/>
      <c r="CO141" s="146"/>
      <c r="CP141" s="146"/>
      <c r="CQ141" s="146"/>
      <c r="CR141" s="146"/>
      <c r="CS141" s="146"/>
      <c r="CT141" s="146"/>
    </row>
    <row r="142" spans="30:98" ht="12">
      <c r="AD142" s="146"/>
      <c r="AE142" s="146"/>
      <c r="AF142" s="146"/>
      <c r="AG142" s="146"/>
      <c r="AH142" s="146"/>
      <c r="AI142" s="146"/>
      <c r="AJ142" s="146"/>
      <c r="AK142" s="146"/>
      <c r="AL142" s="146"/>
      <c r="AM142" s="146"/>
      <c r="AN142" s="146"/>
      <c r="AO142" s="146"/>
      <c r="AP142" s="146"/>
      <c r="AQ142" s="146"/>
      <c r="AR142" s="146"/>
      <c r="AS142" s="146"/>
      <c r="AT142" s="146"/>
      <c r="AU142" s="146"/>
      <c r="AV142" s="146"/>
      <c r="AW142" s="146"/>
      <c r="AX142" s="146"/>
      <c r="AY142" s="146"/>
      <c r="AZ142" s="146"/>
      <c r="BA142" s="146"/>
      <c r="BB142" s="146"/>
      <c r="BC142" s="146"/>
      <c r="BD142" s="146"/>
      <c r="BE142" s="146"/>
      <c r="BF142" s="146"/>
      <c r="BG142" s="146"/>
      <c r="BH142" s="146"/>
      <c r="BI142" s="146"/>
      <c r="BJ142" s="146"/>
      <c r="BK142" s="146"/>
      <c r="BL142" s="146"/>
      <c r="BM142" s="146"/>
      <c r="BN142" s="146"/>
      <c r="BO142" s="146"/>
      <c r="BP142" s="146"/>
      <c r="BQ142" s="146"/>
      <c r="BR142" s="146"/>
      <c r="BS142" s="146"/>
      <c r="BT142" s="146"/>
      <c r="BU142" s="146"/>
      <c r="BV142" s="146"/>
      <c r="BW142" s="146"/>
      <c r="BX142" s="146"/>
      <c r="BY142" s="146"/>
      <c r="BZ142" s="146"/>
      <c r="CA142" s="146"/>
      <c r="CB142" s="146"/>
      <c r="CC142" s="146"/>
      <c r="CD142" s="146"/>
      <c r="CE142" s="146"/>
      <c r="CF142" s="146"/>
      <c r="CG142" s="146"/>
      <c r="CH142" s="146"/>
      <c r="CI142" s="146"/>
      <c r="CJ142" s="146"/>
      <c r="CK142" s="146"/>
      <c r="CL142" s="146"/>
      <c r="CM142" s="146"/>
      <c r="CN142" s="146"/>
      <c r="CO142" s="146"/>
      <c r="CP142" s="146"/>
      <c r="CQ142" s="146"/>
      <c r="CR142" s="146"/>
      <c r="CS142" s="146"/>
      <c r="CT142" s="146"/>
    </row>
    <row r="143" spans="30:98" ht="12">
      <c r="AD143" s="146"/>
      <c r="AE143" s="146"/>
      <c r="AF143" s="146"/>
      <c r="AG143" s="146"/>
      <c r="AH143" s="146"/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6"/>
      <c r="AU143" s="146"/>
      <c r="AV143" s="146"/>
      <c r="AW143" s="146"/>
      <c r="AX143" s="146"/>
      <c r="AY143" s="146"/>
      <c r="AZ143" s="146"/>
      <c r="BA143" s="146"/>
      <c r="BB143" s="146"/>
      <c r="BC143" s="146"/>
      <c r="BD143" s="146"/>
      <c r="BE143" s="146"/>
      <c r="BF143" s="146"/>
      <c r="BG143" s="146"/>
      <c r="BH143" s="146"/>
      <c r="BI143" s="146"/>
      <c r="BJ143" s="146"/>
      <c r="BK143" s="146"/>
      <c r="BL143" s="146"/>
      <c r="BM143" s="146"/>
      <c r="BN143" s="146"/>
      <c r="BO143" s="146"/>
      <c r="BP143" s="146"/>
      <c r="BQ143" s="146"/>
      <c r="BR143" s="146"/>
      <c r="BS143" s="146"/>
      <c r="BT143" s="146"/>
      <c r="BU143" s="146"/>
      <c r="BV143" s="146"/>
      <c r="BW143" s="146"/>
      <c r="BX143" s="146"/>
      <c r="BY143" s="146"/>
      <c r="BZ143" s="146"/>
      <c r="CA143" s="146"/>
      <c r="CB143" s="146"/>
      <c r="CC143" s="146"/>
      <c r="CD143" s="146"/>
      <c r="CE143" s="146"/>
      <c r="CF143" s="146"/>
      <c r="CG143" s="146"/>
      <c r="CH143" s="146"/>
      <c r="CI143" s="146"/>
      <c r="CJ143" s="146"/>
      <c r="CK143" s="146"/>
      <c r="CL143" s="146"/>
      <c r="CM143" s="146"/>
      <c r="CN143" s="146"/>
      <c r="CO143" s="146"/>
      <c r="CP143" s="146"/>
      <c r="CQ143" s="146"/>
      <c r="CR143" s="146"/>
      <c r="CS143" s="146"/>
      <c r="CT143" s="146"/>
    </row>
    <row r="144" spans="30:98" ht="12">
      <c r="AD144" s="146"/>
      <c r="AE144" s="146"/>
      <c r="AF144" s="146"/>
      <c r="AG144" s="146"/>
      <c r="AH144" s="146"/>
      <c r="AI144" s="146"/>
      <c r="AJ144" s="146"/>
      <c r="AK144" s="146"/>
      <c r="AL144" s="146"/>
      <c r="AM144" s="146"/>
      <c r="AN144" s="146"/>
      <c r="AO144" s="146"/>
      <c r="AP144" s="146"/>
      <c r="AQ144" s="146"/>
      <c r="AR144" s="146"/>
      <c r="AS144" s="146"/>
      <c r="AT144" s="146"/>
      <c r="AU144" s="146"/>
      <c r="AV144" s="146"/>
      <c r="AW144" s="146"/>
      <c r="AX144" s="146"/>
      <c r="AY144" s="146"/>
      <c r="AZ144" s="146"/>
      <c r="BA144" s="146"/>
      <c r="BB144" s="146"/>
      <c r="BC144" s="146"/>
      <c r="BD144" s="146"/>
      <c r="BE144" s="146"/>
      <c r="BF144" s="146"/>
      <c r="BG144" s="146"/>
      <c r="BH144" s="146"/>
      <c r="BI144" s="146"/>
      <c r="BJ144" s="146"/>
      <c r="BK144" s="146"/>
      <c r="BL144" s="146"/>
      <c r="BM144" s="146"/>
      <c r="BN144" s="146"/>
      <c r="BO144" s="146"/>
      <c r="BP144" s="146"/>
      <c r="BQ144" s="146"/>
      <c r="BR144" s="146"/>
      <c r="BS144" s="146"/>
      <c r="BT144" s="146"/>
      <c r="BU144" s="146"/>
      <c r="BV144" s="146"/>
      <c r="BW144" s="146"/>
      <c r="BX144" s="146"/>
      <c r="BY144" s="146"/>
      <c r="BZ144" s="146"/>
      <c r="CA144" s="146"/>
      <c r="CB144" s="146"/>
      <c r="CC144" s="146"/>
      <c r="CD144" s="146"/>
      <c r="CE144" s="146"/>
      <c r="CF144" s="146"/>
      <c r="CG144" s="146"/>
      <c r="CH144" s="146"/>
      <c r="CI144" s="146"/>
      <c r="CJ144" s="146"/>
      <c r="CK144" s="146"/>
      <c r="CL144" s="146"/>
      <c r="CM144" s="146"/>
      <c r="CN144" s="146"/>
      <c r="CO144" s="146"/>
      <c r="CP144" s="146"/>
      <c r="CQ144" s="146"/>
      <c r="CR144" s="146"/>
      <c r="CS144" s="146"/>
      <c r="CT144" s="146"/>
    </row>
    <row r="145" spans="30:98" ht="12">
      <c r="AD145" s="146"/>
      <c r="AE145" s="146"/>
      <c r="AF145" s="146"/>
      <c r="AG145" s="146"/>
      <c r="AH145" s="146"/>
      <c r="AI145" s="146"/>
      <c r="AJ145" s="146"/>
      <c r="AK145" s="146"/>
      <c r="AL145" s="146"/>
      <c r="AM145" s="146"/>
      <c r="AN145" s="146"/>
      <c r="AO145" s="146"/>
      <c r="AP145" s="146"/>
      <c r="AQ145" s="146"/>
      <c r="AR145" s="146"/>
      <c r="AS145" s="146"/>
      <c r="AT145" s="146"/>
      <c r="AU145" s="146"/>
      <c r="AV145" s="146"/>
      <c r="AW145" s="146"/>
      <c r="AX145" s="146"/>
      <c r="AY145" s="146"/>
      <c r="AZ145" s="146"/>
      <c r="BA145" s="146"/>
      <c r="BB145" s="146"/>
      <c r="BC145" s="146"/>
      <c r="BD145" s="146"/>
      <c r="BE145" s="146"/>
      <c r="BF145" s="146"/>
      <c r="BG145" s="146"/>
      <c r="BH145" s="146"/>
      <c r="BI145" s="146"/>
      <c r="BJ145" s="146"/>
      <c r="BK145" s="146"/>
      <c r="BL145" s="146"/>
      <c r="BM145" s="146"/>
      <c r="BN145" s="146"/>
      <c r="BO145" s="146"/>
      <c r="BP145" s="146"/>
      <c r="BQ145" s="146"/>
      <c r="BR145" s="146"/>
      <c r="BS145" s="146"/>
      <c r="BT145" s="146"/>
      <c r="BU145" s="146"/>
      <c r="BV145" s="146"/>
      <c r="BW145" s="146"/>
      <c r="BX145" s="146"/>
      <c r="BY145" s="146"/>
      <c r="BZ145" s="146"/>
      <c r="CA145" s="146"/>
      <c r="CB145" s="146"/>
      <c r="CC145" s="146"/>
      <c r="CD145" s="146"/>
      <c r="CE145" s="146"/>
      <c r="CF145" s="146"/>
      <c r="CG145" s="146"/>
      <c r="CH145" s="146"/>
      <c r="CI145" s="146"/>
      <c r="CJ145" s="146"/>
      <c r="CK145" s="146"/>
      <c r="CL145" s="146"/>
      <c r="CM145" s="146"/>
      <c r="CN145" s="146"/>
      <c r="CO145" s="146"/>
      <c r="CP145" s="146"/>
      <c r="CQ145" s="146"/>
      <c r="CR145" s="146"/>
      <c r="CS145" s="146"/>
      <c r="CT145" s="146"/>
    </row>
    <row r="146" spans="30:98" ht="12">
      <c r="AD146" s="146"/>
      <c r="AE146" s="146"/>
      <c r="AF146" s="146"/>
      <c r="AG146" s="146"/>
      <c r="AH146" s="146"/>
      <c r="AI146" s="146"/>
      <c r="AJ146" s="146"/>
      <c r="AK146" s="146"/>
      <c r="AL146" s="146"/>
      <c r="AM146" s="146"/>
      <c r="AN146" s="146"/>
      <c r="AO146" s="146"/>
      <c r="AP146" s="146"/>
      <c r="AQ146" s="146"/>
      <c r="AR146" s="146"/>
      <c r="AS146" s="146"/>
      <c r="AT146" s="146"/>
      <c r="AU146" s="146"/>
      <c r="AV146" s="146"/>
      <c r="AW146" s="146"/>
      <c r="AX146" s="146"/>
      <c r="AY146" s="146"/>
      <c r="AZ146" s="146"/>
      <c r="BA146" s="146"/>
      <c r="BB146" s="146"/>
      <c r="BC146" s="146"/>
      <c r="BD146" s="146"/>
      <c r="BE146" s="146"/>
      <c r="BF146" s="146"/>
      <c r="BG146" s="146"/>
      <c r="BH146" s="146"/>
      <c r="BI146" s="146"/>
      <c r="BJ146" s="146"/>
      <c r="BK146" s="146"/>
      <c r="BL146" s="146"/>
      <c r="BM146" s="146"/>
      <c r="BN146" s="146"/>
      <c r="BO146" s="146"/>
      <c r="BP146" s="146"/>
      <c r="BQ146" s="146"/>
      <c r="BR146" s="146"/>
      <c r="BS146" s="146"/>
      <c r="BT146" s="146"/>
      <c r="BU146" s="146"/>
      <c r="BV146" s="146"/>
      <c r="BW146" s="146"/>
      <c r="BX146" s="146"/>
      <c r="BY146" s="146"/>
      <c r="BZ146" s="146"/>
      <c r="CA146" s="146"/>
      <c r="CB146" s="146"/>
      <c r="CC146" s="146"/>
      <c r="CD146" s="146"/>
      <c r="CE146" s="146"/>
      <c r="CF146" s="146"/>
      <c r="CG146" s="146"/>
      <c r="CH146" s="146"/>
      <c r="CI146" s="146"/>
      <c r="CJ146" s="146"/>
      <c r="CK146" s="146"/>
      <c r="CL146" s="146"/>
      <c r="CM146" s="146"/>
      <c r="CN146" s="146"/>
      <c r="CO146" s="146"/>
      <c r="CP146" s="146"/>
      <c r="CQ146" s="146"/>
      <c r="CR146" s="146"/>
      <c r="CS146" s="146"/>
      <c r="CT146" s="146"/>
    </row>
    <row r="147" spans="30:98" ht="12">
      <c r="AD147" s="146"/>
      <c r="AE147" s="146"/>
      <c r="AF147" s="146"/>
      <c r="AG147" s="146"/>
      <c r="AH147" s="146"/>
      <c r="AI147" s="146"/>
      <c r="AJ147" s="146"/>
      <c r="AK147" s="146"/>
      <c r="AL147" s="146"/>
      <c r="AM147" s="146"/>
      <c r="AN147" s="146"/>
      <c r="AO147" s="146"/>
      <c r="AP147" s="146"/>
      <c r="AQ147" s="146"/>
      <c r="AR147" s="146"/>
      <c r="AS147" s="146"/>
      <c r="AT147" s="146"/>
      <c r="AU147" s="146"/>
      <c r="AV147" s="146"/>
      <c r="AW147" s="146"/>
      <c r="AX147" s="146"/>
      <c r="AY147" s="146"/>
      <c r="AZ147" s="146"/>
      <c r="BA147" s="146"/>
      <c r="BB147" s="146"/>
      <c r="BC147" s="146"/>
      <c r="BD147" s="146"/>
      <c r="BE147" s="146"/>
      <c r="BF147" s="146"/>
      <c r="BG147" s="146"/>
      <c r="BH147" s="146"/>
      <c r="BI147" s="146"/>
      <c r="BJ147" s="146"/>
      <c r="BK147" s="146"/>
      <c r="BL147" s="146"/>
      <c r="BM147" s="146"/>
      <c r="BN147" s="146"/>
      <c r="BO147" s="146"/>
      <c r="BP147" s="146"/>
      <c r="BQ147" s="146"/>
      <c r="BR147" s="146"/>
      <c r="BS147" s="146"/>
      <c r="BT147" s="146"/>
      <c r="BU147" s="146"/>
      <c r="BV147" s="146"/>
      <c r="BW147" s="146"/>
      <c r="BX147" s="146"/>
      <c r="BY147" s="146"/>
      <c r="BZ147" s="146"/>
      <c r="CA147" s="146"/>
      <c r="CB147" s="146"/>
      <c r="CC147" s="146"/>
      <c r="CD147" s="146"/>
      <c r="CE147" s="146"/>
      <c r="CF147" s="146"/>
      <c r="CG147" s="146"/>
      <c r="CH147" s="146"/>
      <c r="CI147" s="146"/>
      <c r="CJ147" s="146"/>
      <c r="CK147" s="146"/>
      <c r="CL147" s="146"/>
      <c r="CM147" s="146"/>
      <c r="CN147" s="146"/>
      <c r="CO147" s="146"/>
      <c r="CP147" s="146"/>
      <c r="CQ147" s="146"/>
      <c r="CR147" s="146"/>
      <c r="CS147" s="146"/>
      <c r="CT147" s="146"/>
    </row>
    <row r="148" spans="30:98" ht="12">
      <c r="AD148" s="146"/>
      <c r="AE148" s="146"/>
      <c r="AF148" s="146"/>
      <c r="AG148" s="146"/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6"/>
      <c r="AV148" s="146"/>
      <c r="AW148" s="146"/>
      <c r="AX148" s="146"/>
      <c r="AY148" s="146"/>
      <c r="AZ148" s="146"/>
      <c r="BA148" s="146"/>
      <c r="BB148" s="146"/>
      <c r="BC148" s="146"/>
      <c r="BD148" s="146"/>
      <c r="BE148" s="146"/>
      <c r="BF148" s="146"/>
      <c r="BG148" s="146"/>
      <c r="BH148" s="146"/>
      <c r="BI148" s="146"/>
      <c r="BJ148" s="146"/>
      <c r="BK148" s="146"/>
      <c r="BL148" s="146"/>
      <c r="BM148" s="146"/>
      <c r="BN148" s="146"/>
      <c r="BO148" s="146"/>
      <c r="BP148" s="146"/>
      <c r="BQ148" s="146"/>
      <c r="BR148" s="146"/>
      <c r="BS148" s="146"/>
      <c r="BT148" s="146"/>
      <c r="BU148" s="146"/>
      <c r="BV148" s="146"/>
      <c r="BW148" s="146"/>
      <c r="BX148" s="146"/>
      <c r="BY148" s="146"/>
      <c r="BZ148" s="146"/>
      <c r="CA148" s="146"/>
      <c r="CB148" s="146"/>
      <c r="CC148" s="146"/>
      <c r="CD148" s="146"/>
      <c r="CE148" s="146"/>
      <c r="CF148" s="146"/>
      <c r="CG148" s="146"/>
      <c r="CH148" s="146"/>
      <c r="CI148" s="146"/>
      <c r="CJ148" s="146"/>
      <c r="CK148" s="146"/>
      <c r="CL148" s="146"/>
      <c r="CM148" s="146"/>
      <c r="CN148" s="146"/>
      <c r="CO148" s="146"/>
      <c r="CP148" s="146"/>
      <c r="CQ148" s="146"/>
      <c r="CR148" s="146"/>
      <c r="CS148" s="146"/>
      <c r="CT148" s="146"/>
    </row>
    <row r="149" spans="30:98" ht="12">
      <c r="AD149" s="146"/>
      <c r="AE149" s="146"/>
      <c r="AF149" s="146"/>
      <c r="AG149" s="146"/>
      <c r="AH149" s="146"/>
      <c r="AI149" s="146"/>
      <c r="AJ149" s="146"/>
      <c r="AK149" s="146"/>
      <c r="AL149" s="146"/>
      <c r="AM149" s="146"/>
      <c r="AN149" s="146"/>
      <c r="AO149" s="146"/>
      <c r="AP149" s="146"/>
      <c r="AQ149" s="146"/>
      <c r="AR149" s="146"/>
      <c r="AS149" s="146"/>
      <c r="AT149" s="146"/>
      <c r="AU149" s="146"/>
      <c r="AV149" s="146"/>
      <c r="AW149" s="146"/>
      <c r="AX149" s="146"/>
      <c r="AY149" s="146"/>
      <c r="AZ149" s="146"/>
      <c r="BA149" s="146"/>
      <c r="BB149" s="146"/>
      <c r="BC149" s="146"/>
      <c r="BD149" s="146"/>
      <c r="BE149" s="146"/>
      <c r="BF149" s="146"/>
      <c r="BG149" s="146"/>
      <c r="BH149" s="146"/>
      <c r="BI149" s="146"/>
      <c r="BJ149" s="146"/>
      <c r="BK149" s="146"/>
      <c r="BL149" s="146"/>
      <c r="BM149" s="146"/>
      <c r="BN149" s="146"/>
      <c r="BO149" s="146"/>
      <c r="BP149" s="146"/>
      <c r="BQ149" s="146"/>
      <c r="BR149" s="146"/>
      <c r="BS149" s="146"/>
      <c r="BT149" s="146"/>
      <c r="BU149" s="146"/>
      <c r="BV149" s="146"/>
      <c r="BW149" s="146"/>
      <c r="BX149" s="146"/>
      <c r="BY149" s="146"/>
      <c r="BZ149" s="146"/>
      <c r="CA149" s="146"/>
      <c r="CB149" s="146"/>
      <c r="CC149" s="146"/>
      <c r="CD149" s="146"/>
      <c r="CE149" s="146"/>
      <c r="CF149" s="146"/>
      <c r="CG149" s="146"/>
      <c r="CH149" s="146"/>
      <c r="CI149" s="146"/>
      <c r="CJ149" s="146"/>
      <c r="CK149" s="146"/>
      <c r="CL149" s="146"/>
      <c r="CM149" s="146"/>
      <c r="CN149" s="146"/>
      <c r="CO149" s="146"/>
      <c r="CP149" s="146"/>
      <c r="CQ149" s="146"/>
      <c r="CR149" s="146"/>
      <c r="CS149" s="146"/>
      <c r="CT149" s="146"/>
    </row>
    <row r="150" spans="30:98" ht="12">
      <c r="AD150" s="146"/>
      <c r="AE150" s="146"/>
      <c r="AF150" s="146"/>
      <c r="AG150" s="146"/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6"/>
      <c r="AV150" s="146"/>
      <c r="AW150" s="146"/>
      <c r="AX150" s="146"/>
      <c r="AY150" s="146"/>
      <c r="AZ150" s="146"/>
      <c r="BA150" s="146"/>
      <c r="BB150" s="146"/>
      <c r="BC150" s="146"/>
      <c r="BD150" s="146"/>
      <c r="BE150" s="146"/>
      <c r="BF150" s="146"/>
      <c r="BG150" s="146"/>
      <c r="BH150" s="146"/>
      <c r="BI150" s="146"/>
      <c r="BJ150" s="146"/>
      <c r="BK150" s="146"/>
      <c r="BL150" s="146"/>
      <c r="BM150" s="146"/>
      <c r="BN150" s="146"/>
      <c r="BO150" s="146"/>
      <c r="BP150" s="146"/>
      <c r="BQ150" s="146"/>
      <c r="BR150" s="146"/>
      <c r="BS150" s="146"/>
      <c r="BT150" s="146"/>
      <c r="BU150" s="146"/>
      <c r="BV150" s="146"/>
      <c r="BW150" s="146"/>
      <c r="BX150" s="146"/>
      <c r="BY150" s="146"/>
      <c r="BZ150" s="146"/>
      <c r="CA150" s="146"/>
      <c r="CB150" s="146"/>
      <c r="CC150" s="146"/>
      <c r="CD150" s="146"/>
      <c r="CE150" s="146"/>
      <c r="CF150" s="146"/>
      <c r="CG150" s="146"/>
      <c r="CH150" s="146"/>
      <c r="CI150" s="146"/>
      <c r="CJ150" s="146"/>
      <c r="CK150" s="146"/>
      <c r="CL150" s="146"/>
      <c r="CM150" s="146"/>
      <c r="CN150" s="146"/>
      <c r="CO150" s="146"/>
      <c r="CP150" s="146"/>
      <c r="CQ150" s="146"/>
      <c r="CR150" s="146"/>
      <c r="CS150" s="146"/>
      <c r="CT150" s="146"/>
    </row>
    <row r="151" spans="30:98" ht="12"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  <c r="AW151" s="146"/>
      <c r="AX151" s="146"/>
      <c r="AY151" s="146"/>
      <c r="AZ151" s="146"/>
      <c r="BA151" s="146"/>
      <c r="BB151" s="146"/>
      <c r="BC151" s="146"/>
      <c r="BD151" s="146"/>
      <c r="BE151" s="146"/>
      <c r="BF151" s="146"/>
      <c r="BG151" s="146"/>
      <c r="BH151" s="146"/>
      <c r="BI151" s="146"/>
      <c r="BJ151" s="146"/>
      <c r="BK151" s="146"/>
      <c r="BL151" s="146"/>
      <c r="BM151" s="146"/>
      <c r="BN151" s="146"/>
      <c r="BO151" s="146"/>
      <c r="BP151" s="146"/>
      <c r="BQ151" s="146"/>
      <c r="BR151" s="146"/>
      <c r="BS151" s="146"/>
      <c r="BT151" s="146"/>
      <c r="BU151" s="146"/>
      <c r="BV151" s="146"/>
      <c r="BW151" s="146"/>
      <c r="BX151" s="146"/>
      <c r="BY151" s="146"/>
      <c r="BZ151" s="146"/>
      <c r="CA151" s="146"/>
      <c r="CB151" s="146"/>
      <c r="CC151" s="146"/>
      <c r="CD151" s="146"/>
      <c r="CE151" s="146"/>
      <c r="CF151" s="146"/>
      <c r="CG151" s="146"/>
      <c r="CH151" s="146"/>
      <c r="CI151" s="146"/>
      <c r="CJ151" s="146"/>
      <c r="CK151" s="146"/>
      <c r="CL151" s="146"/>
      <c r="CM151" s="146"/>
      <c r="CN151" s="146"/>
      <c r="CO151" s="146"/>
      <c r="CP151" s="146"/>
      <c r="CQ151" s="146"/>
      <c r="CR151" s="146"/>
      <c r="CS151" s="146"/>
      <c r="CT151" s="146"/>
    </row>
    <row r="152" spans="30:98" ht="12">
      <c r="AD152" s="146"/>
      <c r="AE152" s="146"/>
      <c r="AF152" s="146"/>
      <c r="AG152" s="146"/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146"/>
      <c r="AU152" s="146"/>
      <c r="AV152" s="146"/>
      <c r="AW152" s="146"/>
      <c r="AX152" s="146"/>
      <c r="AY152" s="146"/>
      <c r="AZ152" s="146"/>
      <c r="BA152" s="146"/>
      <c r="BB152" s="146"/>
      <c r="BC152" s="146"/>
      <c r="BD152" s="146"/>
      <c r="BE152" s="146"/>
      <c r="BF152" s="146"/>
      <c r="BG152" s="146"/>
      <c r="BH152" s="146"/>
      <c r="BI152" s="146"/>
      <c r="BJ152" s="146"/>
      <c r="BK152" s="146"/>
      <c r="BL152" s="146"/>
      <c r="BM152" s="146"/>
      <c r="BN152" s="146"/>
      <c r="BO152" s="146"/>
      <c r="BP152" s="146"/>
      <c r="BQ152" s="146"/>
      <c r="BR152" s="146"/>
      <c r="BS152" s="146"/>
      <c r="BT152" s="146"/>
      <c r="BU152" s="146"/>
      <c r="BV152" s="146"/>
      <c r="BW152" s="146"/>
      <c r="BX152" s="146"/>
      <c r="BY152" s="146"/>
      <c r="BZ152" s="146"/>
      <c r="CA152" s="146"/>
      <c r="CB152" s="146"/>
      <c r="CC152" s="146"/>
      <c r="CD152" s="146"/>
      <c r="CE152" s="146"/>
      <c r="CF152" s="146"/>
      <c r="CG152" s="146"/>
      <c r="CH152" s="146"/>
      <c r="CI152" s="146"/>
      <c r="CJ152" s="146"/>
      <c r="CK152" s="146"/>
      <c r="CL152" s="146"/>
      <c r="CM152" s="146"/>
      <c r="CN152" s="146"/>
      <c r="CO152" s="146"/>
      <c r="CP152" s="146"/>
      <c r="CQ152" s="146"/>
      <c r="CR152" s="146"/>
      <c r="CS152" s="146"/>
      <c r="CT152" s="146"/>
    </row>
    <row r="153" spans="30:98" ht="12">
      <c r="AD153" s="146"/>
      <c r="AE153" s="146"/>
      <c r="AF153" s="146"/>
      <c r="AG153" s="146"/>
      <c r="AH153" s="146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146"/>
      <c r="BD153" s="146"/>
      <c r="BE153" s="146"/>
      <c r="BF153" s="146"/>
      <c r="BG153" s="146"/>
      <c r="BH153" s="146"/>
      <c r="BI153" s="146"/>
      <c r="BJ153" s="146"/>
      <c r="BK153" s="146"/>
      <c r="BL153" s="146"/>
      <c r="BM153" s="146"/>
      <c r="BN153" s="146"/>
      <c r="BO153" s="146"/>
      <c r="BP153" s="146"/>
      <c r="BQ153" s="146"/>
      <c r="BR153" s="146"/>
      <c r="BS153" s="146"/>
      <c r="BT153" s="146"/>
      <c r="BU153" s="146"/>
      <c r="BV153" s="146"/>
      <c r="BW153" s="146"/>
      <c r="BX153" s="146"/>
      <c r="BY153" s="146"/>
      <c r="BZ153" s="146"/>
      <c r="CA153" s="146"/>
      <c r="CB153" s="146"/>
      <c r="CC153" s="146"/>
      <c r="CD153" s="146"/>
      <c r="CE153" s="146"/>
      <c r="CF153" s="146"/>
      <c r="CG153" s="146"/>
      <c r="CH153" s="146"/>
      <c r="CI153" s="146"/>
      <c r="CJ153" s="146"/>
      <c r="CK153" s="146"/>
      <c r="CL153" s="146"/>
      <c r="CM153" s="146"/>
      <c r="CN153" s="146"/>
      <c r="CO153" s="146"/>
      <c r="CP153" s="146"/>
      <c r="CQ153" s="146"/>
      <c r="CR153" s="146"/>
      <c r="CS153" s="146"/>
      <c r="CT153" s="146"/>
    </row>
    <row r="154" spans="30:98" ht="12">
      <c r="AD154" s="146"/>
      <c r="AE154" s="146"/>
      <c r="AF154" s="146"/>
      <c r="AG154" s="146"/>
      <c r="AH154" s="146"/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6"/>
      <c r="AV154" s="146"/>
      <c r="AW154" s="146"/>
      <c r="AX154" s="146"/>
      <c r="AY154" s="146"/>
      <c r="AZ154" s="146"/>
      <c r="BA154" s="146"/>
      <c r="BB154" s="146"/>
      <c r="BC154" s="146"/>
      <c r="BD154" s="146"/>
      <c r="BE154" s="146"/>
      <c r="BF154" s="146"/>
      <c r="BG154" s="146"/>
      <c r="BH154" s="146"/>
      <c r="BI154" s="146"/>
      <c r="BJ154" s="146"/>
      <c r="BK154" s="146"/>
      <c r="BL154" s="146"/>
      <c r="BM154" s="146"/>
      <c r="BN154" s="146"/>
      <c r="BO154" s="146"/>
      <c r="BP154" s="146"/>
      <c r="BQ154" s="146"/>
      <c r="BR154" s="146"/>
      <c r="BS154" s="146"/>
      <c r="BT154" s="146"/>
      <c r="BU154" s="146"/>
      <c r="BV154" s="146"/>
      <c r="BW154" s="146"/>
      <c r="BX154" s="146"/>
      <c r="BY154" s="146"/>
      <c r="BZ154" s="146"/>
      <c r="CA154" s="146"/>
      <c r="CB154" s="146"/>
      <c r="CC154" s="146"/>
      <c r="CD154" s="146"/>
      <c r="CE154" s="146"/>
      <c r="CF154" s="146"/>
      <c r="CG154" s="146"/>
      <c r="CH154" s="146"/>
      <c r="CI154" s="146"/>
      <c r="CJ154" s="146"/>
      <c r="CK154" s="146"/>
      <c r="CL154" s="146"/>
      <c r="CM154" s="146"/>
      <c r="CN154" s="146"/>
      <c r="CO154" s="146"/>
      <c r="CP154" s="146"/>
      <c r="CQ154" s="146"/>
      <c r="CR154" s="146"/>
      <c r="CS154" s="146"/>
      <c r="CT154" s="146"/>
    </row>
    <row r="155" spans="1:107" s="58" customFormat="1" ht="12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  <c r="CT155" s="89"/>
      <c r="CU155" s="89"/>
      <c r="CV155" s="89"/>
      <c r="CW155" s="89"/>
      <c r="CX155" s="89"/>
      <c r="CY155" s="89"/>
      <c r="CZ155" s="89"/>
      <c r="DA155" s="89"/>
      <c r="DB155" s="89"/>
      <c r="DC155" s="89"/>
    </row>
    <row r="156" spans="1:107" s="58" customFormat="1" ht="12">
      <c r="A156" s="89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</row>
    <row r="157" spans="1:107" s="58" customFormat="1" ht="12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  <c r="BB157" s="89"/>
      <c r="BC157" s="89"/>
      <c r="BD157" s="89"/>
      <c r="BE157" s="89"/>
      <c r="BF157" s="89"/>
      <c r="BG157" s="89"/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  <c r="BX157" s="89"/>
      <c r="BY157" s="89"/>
      <c r="BZ157" s="89"/>
      <c r="CA157" s="89"/>
      <c r="CB157" s="89"/>
      <c r="CC157" s="89"/>
      <c r="CD157" s="89"/>
      <c r="CE157" s="89"/>
      <c r="CF157" s="89"/>
      <c r="CG157" s="89"/>
      <c r="CH157" s="89"/>
      <c r="CI157" s="89"/>
      <c r="CJ157" s="89"/>
      <c r="CK157" s="89"/>
      <c r="CL157" s="89"/>
      <c r="CM157" s="89"/>
      <c r="CN157" s="89"/>
      <c r="CO157" s="89"/>
      <c r="CP157" s="89"/>
      <c r="CQ157" s="89"/>
      <c r="CR157" s="89"/>
      <c r="CS157" s="89"/>
      <c r="CT157" s="89"/>
      <c r="CU157" s="89"/>
      <c r="CV157" s="89"/>
      <c r="CW157" s="89"/>
      <c r="CX157" s="89"/>
      <c r="CY157" s="89"/>
      <c r="CZ157" s="89"/>
      <c r="DA157" s="89"/>
      <c r="DB157" s="89"/>
      <c r="DC157" s="89"/>
    </row>
    <row r="158" spans="1:107" s="58" customFormat="1" ht="12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/>
      <c r="CP158" s="89"/>
      <c r="CQ158" s="89"/>
      <c r="CR158" s="89"/>
      <c r="CS158" s="89"/>
      <c r="CT158" s="89"/>
      <c r="CU158" s="89"/>
      <c r="CV158" s="89"/>
      <c r="CW158" s="89"/>
      <c r="CX158" s="89"/>
      <c r="CY158" s="89"/>
      <c r="CZ158" s="89"/>
      <c r="DA158" s="89"/>
      <c r="DB158" s="89"/>
      <c r="DC158" s="89"/>
    </row>
    <row r="159" spans="1:107" s="58" customFormat="1" ht="12">
      <c r="A159" s="89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  <c r="CT159" s="89"/>
      <c r="CU159" s="89"/>
      <c r="CV159" s="89"/>
      <c r="CW159" s="89"/>
      <c r="CX159" s="89"/>
      <c r="CY159" s="89"/>
      <c r="CZ159" s="89"/>
      <c r="DA159" s="89"/>
      <c r="DB159" s="89"/>
      <c r="DC159" s="89"/>
    </row>
    <row r="160" spans="1:107" s="58" customFormat="1" ht="12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  <c r="AW160" s="89"/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89"/>
      <c r="CO160" s="89"/>
      <c r="CP160" s="89"/>
      <c r="CQ160" s="89"/>
      <c r="CR160" s="89"/>
      <c r="CS160" s="89"/>
      <c r="CT160" s="89"/>
      <c r="CU160" s="89"/>
      <c r="CV160" s="89"/>
      <c r="CW160" s="89"/>
      <c r="CX160" s="89"/>
      <c r="CY160" s="89"/>
      <c r="CZ160" s="89"/>
      <c r="DA160" s="89"/>
      <c r="DB160" s="89"/>
      <c r="DC160" s="89"/>
    </row>
    <row r="161" spans="1:107" s="58" customFormat="1" ht="12">
      <c r="A161" s="89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  <c r="CA161" s="89"/>
      <c r="CB161" s="89"/>
      <c r="CC161" s="89"/>
      <c r="CD161" s="89"/>
      <c r="CE161" s="89"/>
      <c r="CF161" s="89"/>
      <c r="CG161" s="89"/>
      <c r="CH161" s="89"/>
      <c r="CI161" s="89"/>
      <c r="CJ161" s="89"/>
      <c r="CK161" s="89"/>
      <c r="CL161" s="89"/>
      <c r="CM161" s="89"/>
      <c r="CN161" s="89"/>
      <c r="CO161" s="89"/>
      <c r="CP161" s="89"/>
      <c r="CQ161" s="89"/>
      <c r="CR161" s="89"/>
      <c r="CS161" s="89"/>
      <c r="CT161" s="89"/>
      <c r="CU161" s="89"/>
      <c r="CV161" s="89"/>
      <c r="CW161" s="89"/>
      <c r="CX161" s="89"/>
      <c r="CY161" s="89"/>
      <c r="CZ161" s="89"/>
      <c r="DA161" s="89"/>
      <c r="DB161" s="89"/>
      <c r="DC161" s="89"/>
    </row>
    <row r="162" spans="1:107" s="58" customFormat="1" ht="12">
      <c r="A162" s="89"/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  <c r="BB162" s="89"/>
      <c r="BC162" s="89"/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89"/>
      <c r="CO162" s="89"/>
      <c r="CP162" s="89"/>
      <c r="CQ162" s="89"/>
      <c r="CR162" s="89"/>
      <c r="CS162" s="89"/>
      <c r="CT162" s="89"/>
      <c r="CU162" s="89"/>
      <c r="CV162" s="89"/>
      <c r="CW162" s="89"/>
      <c r="CX162" s="89"/>
      <c r="CY162" s="89"/>
      <c r="CZ162" s="89"/>
      <c r="DA162" s="89"/>
      <c r="DB162" s="89"/>
      <c r="DC162" s="89"/>
    </row>
    <row r="163" spans="1:107" s="58" customFormat="1" ht="12">
      <c r="A163" s="89"/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  <c r="BB163" s="89"/>
      <c r="BC163" s="89"/>
      <c r="BD163" s="89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  <c r="CA163" s="89"/>
      <c r="CB163" s="89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89"/>
      <c r="CN163" s="89"/>
      <c r="CO163" s="89"/>
      <c r="CP163" s="89"/>
      <c r="CQ163" s="89"/>
      <c r="CR163" s="89"/>
      <c r="CS163" s="89"/>
      <c r="CT163" s="89"/>
      <c r="CU163" s="89"/>
      <c r="CV163" s="89"/>
      <c r="CW163" s="89"/>
      <c r="CX163" s="89"/>
      <c r="CY163" s="89"/>
      <c r="CZ163" s="89"/>
      <c r="DA163" s="89"/>
      <c r="DB163" s="89"/>
      <c r="DC163" s="89"/>
    </row>
    <row r="164" spans="1:107" s="58" customFormat="1" ht="12">
      <c r="A164" s="89"/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  <c r="BA164" s="89"/>
      <c r="BB164" s="89"/>
      <c r="BC164" s="89"/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89"/>
      <c r="BY164" s="89"/>
      <c r="BZ164" s="89"/>
      <c r="CA164" s="89"/>
      <c r="CB164" s="89"/>
      <c r="CC164" s="89"/>
      <c r="CD164" s="89"/>
      <c r="CE164" s="89"/>
      <c r="CF164" s="89"/>
      <c r="CG164" s="89"/>
      <c r="CH164" s="89"/>
      <c r="CI164" s="89"/>
      <c r="CJ164" s="89"/>
      <c r="CK164" s="89"/>
      <c r="CL164" s="89"/>
      <c r="CM164" s="89"/>
      <c r="CN164" s="89"/>
      <c r="CO164" s="89"/>
      <c r="CP164" s="89"/>
      <c r="CQ164" s="89"/>
      <c r="CR164" s="89"/>
      <c r="CS164" s="89"/>
      <c r="CT164" s="89"/>
      <c r="CU164" s="89"/>
      <c r="CV164" s="89"/>
      <c r="CW164" s="89"/>
      <c r="CX164" s="89"/>
      <c r="CY164" s="89"/>
      <c r="CZ164" s="89"/>
      <c r="DA164" s="89"/>
      <c r="DB164" s="89"/>
      <c r="DC164" s="89"/>
    </row>
    <row r="165" spans="1:107" s="58" customFormat="1" ht="12">
      <c r="A165" s="89"/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  <c r="BX165" s="89"/>
      <c r="BY165" s="89"/>
      <c r="BZ165" s="89"/>
      <c r="CA165" s="89"/>
      <c r="CB165" s="89"/>
      <c r="CC165" s="89"/>
      <c r="CD165" s="89"/>
      <c r="CE165" s="89"/>
      <c r="CF165" s="89"/>
      <c r="CG165" s="89"/>
      <c r="CH165" s="89"/>
      <c r="CI165" s="89"/>
      <c r="CJ165" s="89"/>
      <c r="CK165" s="89"/>
      <c r="CL165" s="89"/>
      <c r="CM165" s="89"/>
      <c r="CN165" s="89"/>
      <c r="CO165" s="89"/>
      <c r="CP165" s="89"/>
      <c r="CQ165" s="89"/>
      <c r="CR165" s="89"/>
      <c r="CS165" s="89"/>
      <c r="CT165" s="89"/>
      <c r="CU165" s="89"/>
      <c r="CV165" s="89"/>
      <c r="CW165" s="89"/>
      <c r="CX165" s="89"/>
      <c r="CY165" s="89"/>
      <c r="CZ165" s="89"/>
      <c r="DA165" s="89"/>
      <c r="DB165" s="89"/>
      <c r="DC165" s="89"/>
    </row>
    <row r="166" spans="1:107" s="58" customFormat="1" ht="12">
      <c r="A166" s="89"/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  <c r="BA166" s="89"/>
      <c r="BB166" s="89"/>
      <c r="BC166" s="89"/>
      <c r="BD166" s="89"/>
      <c r="BE166" s="89"/>
      <c r="BF166" s="89"/>
      <c r="BG166" s="89"/>
      <c r="BH166" s="89"/>
      <c r="BI166" s="89"/>
      <c r="BJ166" s="89"/>
      <c r="BK166" s="89"/>
      <c r="BL166" s="89"/>
      <c r="BM166" s="89"/>
      <c r="BN166" s="89"/>
      <c r="BO166" s="89"/>
      <c r="BP166" s="89"/>
      <c r="BQ166" s="89"/>
      <c r="BR166" s="89"/>
      <c r="BS166" s="89"/>
      <c r="BT166" s="89"/>
      <c r="BU166" s="89"/>
      <c r="BV166" s="89"/>
      <c r="BW166" s="89"/>
      <c r="BX166" s="89"/>
      <c r="BY166" s="89"/>
      <c r="BZ166" s="89"/>
      <c r="CA166" s="89"/>
      <c r="CB166" s="89"/>
      <c r="CC166" s="89"/>
      <c r="CD166" s="89"/>
      <c r="CE166" s="89"/>
      <c r="CF166" s="89"/>
      <c r="CG166" s="89"/>
      <c r="CH166" s="89"/>
      <c r="CI166" s="89"/>
      <c r="CJ166" s="89"/>
      <c r="CK166" s="89"/>
      <c r="CL166" s="89"/>
      <c r="CM166" s="89"/>
      <c r="CN166" s="89"/>
      <c r="CO166" s="89"/>
      <c r="CP166" s="89"/>
      <c r="CQ166" s="89"/>
      <c r="CR166" s="89"/>
      <c r="CS166" s="89"/>
      <c r="CT166" s="89"/>
      <c r="CU166" s="89"/>
      <c r="CV166" s="89"/>
      <c r="CW166" s="89"/>
      <c r="CX166" s="89"/>
      <c r="CY166" s="89"/>
      <c r="CZ166" s="89"/>
      <c r="DA166" s="89"/>
      <c r="DB166" s="89"/>
      <c r="DC166" s="89"/>
    </row>
    <row r="167" spans="1:107" s="58" customFormat="1" ht="12">
      <c r="A167" s="89"/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  <c r="BB167" s="89"/>
      <c r="BC167" s="89"/>
      <c r="BD167" s="89"/>
      <c r="BE167" s="89"/>
      <c r="BF167" s="89"/>
      <c r="BG167" s="89"/>
      <c r="BH167" s="89"/>
      <c r="BI167" s="89"/>
      <c r="BJ167" s="89"/>
      <c r="BK167" s="89"/>
      <c r="BL167" s="89"/>
      <c r="BM167" s="89"/>
      <c r="BN167" s="89"/>
      <c r="BO167" s="89"/>
      <c r="BP167" s="89"/>
      <c r="BQ167" s="89"/>
      <c r="BR167" s="89"/>
      <c r="BS167" s="89"/>
      <c r="BT167" s="89"/>
      <c r="BU167" s="89"/>
      <c r="BV167" s="89"/>
      <c r="BW167" s="89"/>
      <c r="BX167" s="89"/>
      <c r="BY167" s="89"/>
      <c r="BZ167" s="89"/>
      <c r="CA167" s="89"/>
      <c r="CB167" s="89"/>
      <c r="CC167" s="89"/>
      <c r="CD167" s="89"/>
      <c r="CE167" s="89"/>
      <c r="CF167" s="89"/>
      <c r="CG167" s="89"/>
      <c r="CH167" s="89"/>
      <c r="CI167" s="89"/>
      <c r="CJ167" s="89"/>
      <c r="CK167" s="89"/>
      <c r="CL167" s="89"/>
      <c r="CM167" s="89"/>
      <c r="CN167" s="89"/>
      <c r="CO167" s="89"/>
      <c r="CP167" s="89"/>
      <c r="CQ167" s="89"/>
      <c r="CR167" s="89"/>
      <c r="CS167" s="89"/>
      <c r="CT167" s="89"/>
      <c r="CU167" s="89"/>
      <c r="CV167" s="89"/>
      <c r="CW167" s="89"/>
      <c r="CX167" s="89"/>
      <c r="CY167" s="89"/>
      <c r="CZ167" s="89"/>
      <c r="DA167" s="89"/>
      <c r="DB167" s="89"/>
      <c r="DC167" s="89"/>
    </row>
    <row r="168" spans="1:107" s="58" customFormat="1" ht="12">
      <c r="A168" s="89"/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  <c r="CR168" s="89"/>
      <c r="CS168" s="89"/>
      <c r="CT168" s="89"/>
      <c r="CU168" s="89"/>
      <c r="CV168" s="89"/>
      <c r="CW168" s="89"/>
      <c r="CX168" s="89"/>
      <c r="CY168" s="89"/>
      <c r="CZ168" s="89"/>
      <c r="DA168" s="89"/>
      <c r="DB168" s="89"/>
      <c r="DC168" s="89"/>
    </row>
    <row r="169" spans="1:107" s="58" customFormat="1" ht="12">
      <c r="A169" s="89"/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  <c r="CR169" s="89"/>
      <c r="CS169" s="89"/>
      <c r="CT169" s="89"/>
      <c r="CU169" s="89"/>
      <c r="CV169" s="89"/>
      <c r="CW169" s="89"/>
      <c r="CX169" s="89"/>
      <c r="CY169" s="89"/>
      <c r="CZ169" s="89"/>
      <c r="DA169" s="89"/>
      <c r="DB169" s="89"/>
      <c r="DC169" s="89"/>
    </row>
    <row r="170" spans="1:107" s="58" customFormat="1" ht="12">
      <c r="A170" s="89"/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  <c r="CR170" s="89"/>
      <c r="CS170" s="89"/>
      <c r="CT170" s="89"/>
      <c r="CU170" s="89"/>
      <c r="CV170" s="89"/>
      <c r="CW170" s="89"/>
      <c r="CX170" s="89"/>
      <c r="CY170" s="89"/>
      <c r="CZ170" s="89"/>
      <c r="DA170" s="89"/>
      <c r="DB170" s="89"/>
      <c r="DC170" s="89"/>
    </row>
    <row r="171" spans="1:107" s="58" customFormat="1" ht="12">
      <c r="A171" s="89"/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89"/>
      <c r="AT171" s="89"/>
      <c r="AU171" s="89"/>
      <c r="AV171" s="89"/>
      <c r="AW171" s="89"/>
      <c r="AX171" s="89"/>
      <c r="AY171" s="89"/>
      <c r="AZ171" s="89"/>
      <c r="BA171" s="89"/>
      <c r="BB171" s="89"/>
      <c r="BC171" s="89"/>
      <c r="BD171" s="89"/>
      <c r="BE171" s="89"/>
      <c r="BF171" s="89"/>
      <c r="BG171" s="89"/>
      <c r="BH171" s="89"/>
      <c r="BI171" s="89"/>
      <c r="BJ171" s="89"/>
      <c r="BK171" s="89"/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89"/>
      <c r="BX171" s="89"/>
      <c r="BY171" s="89"/>
      <c r="BZ171" s="89"/>
      <c r="CA171" s="89"/>
      <c r="CB171" s="89"/>
      <c r="CC171" s="89"/>
      <c r="CD171" s="89"/>
      <c r="CE171" s="89"/>
      <c r="CF171" s="89"/>
      <c r="CG171" s="89"/>
      <c r="CH171" s="89"/>
      <c r="CI171" s="89"/>
      <c r="CJ171" s="89"/>
      <c r="CK171" s="89"/>
      <c r="CL171" s="89"/>
      <c r="CM171" s="89"/>
      <c r="CN171" s="89"/>
      <c r="CO171" s="89"/>
      <c r="CP171" s="89"/>
      <c r="CQ171" s="89"/>
      <c r="CR171" s="89"/>
      <c r="CS171" s="89"/>
      <c r="CT171" s="89"/>
      <c r="CU171" s="89"/>
      <c r="CV171" s="89"/>
      <c r="CW171" s="89"/>
      <c r="CX171" s="89"/>
      <c r="CY171" s="89"/>
      <c r="CZ171" s="89"/>
      <c r="DA171" s="89"/>
      <c r="DB171" s="89"/>
      <c r="DC171" s="89"/>
    </row>
    <row r="172" spans="1:107" s="58" customFormat="1" ht="12">
      <c r="A172" s="89"/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89"/>
      <c r="BY172" s="89"/>
      <c r="BZ172" s="89"/>
      <c r="CA172" s="89"/>
      <c r="CB172" s="89"/>
      <c r="CC172" s="89"/>
      <c r="CD172" s="89"/>
      <c r="CE172" s="89"/>
      <c r="CF172" s="89"/>
      <c r="CG172" s="89"/>
      <c r="CH172" s="89"/>
      <c r="CI172" s="89"/>
      <c r="CJ172" s="89"/>
      <c r="CK172" s="89"/>
      <c r="CL172" s="89"/>
      <c r="CM172" s="89"/>
      <c r="CN172" s="89"/>
      <c r="CO172" s="89"/>
      <c r="CP172" s="89"/>
      <c r="CQ172" s="89"/>
      <c r="CR172" s="89"/>
      <c r="CS172" s="89"/>
      <c r="CT172" s="89"/>
      <c r="CU172" s="89"/>
      <c r="CV172" s="89"/>
      <c r="CW172" s="89"/>
      <c r="CX172" s="89"/>
      <c r="CY172" s="89"/>
      <c r="CZ172" s="89"/>
      <c r="DA172" s="89"/>
      <c r="DB172" s="89"/>
      <c r="DC172" s="89"/>
    </row>
    <row r="173" spans="1:107" s="58" customFormat="1" ht="12">
      <c r="A173" s="89"/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E173" s="89"/>
      <c r="CF173" s="89"/>
      <c r="CG173" s="89"/>
      <c r="CH173" s="89"/>
      <c r="CI173" s="89"/>
      <c r="CJ173" s="89"/>
      <c r="CK173" s="89"/>
      <c r="CL173" s="89"/>
      <c r="CM173" s="89"/>
      <c r="CN173" s="89"/>
      <c r="CO173" s="89"/>
      <c r="CP173" s="89"/>
      <c r="CQ173" s="89"/>
      <c r="CR173" s="89"/>
      <c r="CS173" s="89"/>
      <c r="CT173" s="89"/>
      <c r="CU173" s="89"/>
      <c r="CV173" s="89"/>
      <c r="CW173" s="89"/>
      <c r="CX173" s="89"/>
      <c r="CY173" s="89"/>
      <c r="CZ173" s="89"/>
      <c r="DA173" s="89"/>
      <c r="DB173" s="89"/>
      <c r="DC173" s="89"/>
    </row>
    <row r="174" spans="1:107" s="58" customFormat="1" ht="12">
      <c r="A174" s="89"/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  <c r="BB174" s="89"/>
      <c r="BC174" s="89"/>
      <c r="BD174" s="89"/>
      <c r="BE174" s="89"/>
      <c r="BF174" s="89"/>
      <c r="BG174" s="89"/>
      <c r="BH174" s="89"/>
      <c r="BI174" s="89"/>
      <c r="BJ174" s="89"/>
      <c r="BK174" s="89"/>
      <c r="BL174" s="89"/>
      <c r="BM174" s="89"/>
      <c r="BN174" s="89"/>
      <c r="BO174" s="89"/>
      <c r="BP174" s="89"/>
      <c r="BQ174" s="89"/>
      <c r="BR174" s="89"/>
      <c r="BS174" s="89"/>
      <c r="BT174" s="89"/>
      <c r="BU174" s="89"/>
      <c r="BV174" s="89"/>
      <c r="BW174" s="89"/>
      <c r="BX174" s="89"/>
      <c r="BY174" s="89"/>
      <c r="BZ174" s="89"/>
      <c r="CA174" s="89"/>
      <c r="CB174" s="89"/>
      <c r="CC174" s="89"/>
      <c r="CD174" s="89"/>
      <c r="CE174" s="89"/>
      <c r="CF174" s="89"/>
      <c r="CG174" s="89"/>
      <c r="CH174" s="89"/>
      <c r="CI174" s="89"/>
      <c r="CJ174" s="89"/>
      <c r="CK174" s="89"/>
      <c r="CL174" s="89"/>
      <c r="CM174" s="89"/>
      <c r="CN174" s="89"/>
      <c r="CO174" s="89"/>
      <c r="CP174" s="89"/>
      <c r="CQ174" s="89"/>
      <c r="CR174" s="89"/>
      <c r="CS174" s="89"/>
      <c r="CT174" s="89"/>
      <c r="CU174" s="89"/>
      <c r="CV174" s="89"/>
      <c r="CW174" s="89"/>
      <c r="CX174" s="89"/>
      <c r="CY174" s="89"/>
      <c r="CZ174" s="89"/>
      <c r="DA174" s="89"/>
      <c r="DB174" s="89"/>
      <c r="DC174" s="89"/>
    </row>
    <row r="175" spans="1:107" s="58" customFormat="1" ht="12">
      <c r="A175" s="89"/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89"/>
      <c r="BC175" s="89"/>
      <c r="BD175" s="89"/>
      <c r="BE175" s="89"/>
      <c r="BF175" s="89"/>
      <c r="BG175" s="89"/>
      <c r="BH175" s="89"/>
      <c r="BI175" s="89"/>
      <c r="BJ175" s="89"/>
      <c r="BK175" s="89"/>
      <c r="BL175" s="89"/>
      <c r="BM175" s="89"/>
      <c r="BN175" s="89"/>
      <c r="BO175" s="89"/>
      <c r="BP175" s="89"/>
      <c r="BQ175" s="89"/>
      <c r="BR175" s="89"/>
      <c r="BS175" s="89"/>
      <c r="BT175" s="89"/>
      <c r="BU175" s="89"/>
      <c r="BV175" s="89"/>
      <c r="BW175" s="89"/>
      <c r="BX175" s="89"/>
      <c r="BY175" s="89"/>
      <c r="BZ175" s="89"/>
      <c r="CA175" s="89"/>
      <c r="CB175" s="89"/>
      <c r="CC175" s="89"/>
      <c r="CD175" s="89"/>
      <c r="CE175" s="89"/>
      <c r="CF175" s="89"/>
      <c r="CG175" s="89"/>
      <c r="CH175" s="89"/>
      <c r="CI175" s="89"/>
      <c r="CJ175" s="89"/>
      <c r="CK175" s="89"/>
      <c r="CL175" s="89"/>
      <c r="CM175" s="89"/>
      <c r="CN175" s="89"/>
      <c r="CO175" s="89"/>
      <c r="CP175" s="89"/>
      <c r="CQ175" s="89"/>
      <c r="CR175" s="89"/>
      <c r="CS175" s="89"/>
      <c r="CT175" s="89"/>
      <c r="CU175" s="89"/>
      <c r="CV175" s="89"/>
      <c r="CW175" s="89"/>
      <c r="CX175" s="89"/>
      <c r="CY175" s="89"/>
      <c r="CZ175" s="89"/>
      <c r="DA175" s="89"/>
      <c r="DB175" s="89"/>
      <c r="DC175" s="89"/>
    </row>
    <row r="176" spans="1:107" s="58" customFormat="1" ht="12">
      <c r="A176" s="89"/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89"/>
      <c r="BC176" s="89"/>
      <c r="BD176" s="89"/>
      <c r="BE176" s="89"/>
      <c r="BF176" s="89"/>
      <c r="BG176" s="89"/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  <c r="BT176" s="89"/>
      <c r="BU176" s="89"/>
      <c r="BV176" s="89"/>
      <c r="BW176" s="89"/>
      <c r="BX176" s="89"/>
      <c r="BY176" s="89"/>
      <c r="BZ176" s="89"/>
      <c r="CA176" s="89"/>
      <c r="CB176" s="89"/>
      <c r="CC176" s="89"/>
      <c r="CD176" s="89"/>
      <c r="CE176" s="89"/>
      <c r="CF176" s="89"/>
      <c r="CG176" s="89"/>
      <c r="CH176" s="89"/>
      <c r="CI176" s="89"/>
      <c r="CJ176" s="89"/>
      <c r="CK176" s="89"/>
      <c r="CL176" s="89"/>
      <c r="CM176" s="89"/>
      <c r="CN176" s="89"/>
      <c r="CO176" s="89"/>
      <c r="CP176" s="89"/>
      <c r="CQ176" s="89"/>
      <c r="CR176" s="89"/>
      <c r="CS176" s="89"/>
      <c r="CT176" s="89"/>
      <c r="CU176" s="89"/>
      <c r="CV176" s="89"/>
      <c r="CW176" s="89"/>
      <c r="CX176" s="89"/>
      <c r="CY176" s="89"/>
      <c r="CZ176" s="89"/>
      <c r="DA176" s="89"/>
      <c r="DB176" s="89"/>
      <c r="DC176" s="89"/>
    </row>
    <row r="177" spans="1:107" s="58" customFormat="1" ht="12">
      <c r="A177" s="89"/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  <c r="BB177" s="89"/>
      <c r="BC177" s="89"/>
      <c r="BD177" s="89"/>
      <c r="BE177" s="89"/>
      <c r="BF177" s="89"/>
      <c r="BG177" s="89"/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  <c r="BX177" s="89"/>
      <c r="BY177" s="89"/>
      <c r="BZ177" s="89"/>
      <c r="CA177" s="89"/>
      <c r="CB177" s="89"/>
      <c r="CC177" s="89"/>
      <c r="CD177" s="89"/>
      <c r="CE177" s="89"/>
      <c r="CF177" s="89"/>
      <c r="CG177" s="89"/>
      <c r="CH177" s="89"/>
      <c r="CI177" s="89"/>
      <c r="CJ177" s="89"/>
      <c r="CK177" s="89"/>
      <c r="CL177" s="89"/>
      <c r="CM177" s="89"/>
      <c r="CN177" s="89"/>
      <c r="CO177" s="89"/>
      <c r="CP177" s="89"/>
      <c r="CQ177" s="89"/>
      <c r="CR177" s="89"/>
      <c r="CS177" s="89"/>
      <c r="CT177" s="89"/>
      <c r="CU177" s="89"/>
      <c r="CV177" s="89"/>
      <c r="CW177" s="89"/>
      <c r="CX177" s="89"/>
      <c r="CY177" s="89"/>
      <c r="CZ177" s="89"/>
      <c r="DA177" s="89"/>
      <c r="DB177" s="89"/>
      <c r="DC177" s="89"/>
    </row>
    <row r="178" spans="1:107" s="58" customFormat="1" ht="12">
      <c r="A178" s="89"/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89"/>
      <c r="CA178" s="89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89"/>
      <c r="CO178" s="89"/>
      <c r="CP178" s="89"/>
      <c r="CQ178" s="89"/>
      <c r="CR178" s="89"/>
      <c r="CS178" s="89"/>
      <c r="CT178" s="89"/>
      <c r="CU178" s="89"/>
      <c r="CV178" s="89"/>
      <c r="CW178" s="89"/>
      <c r="CX178" s="89"/>
      <c r="CY178" s="89"/>
      <c r="CZ178" s="89"/>
      <c r="DA178" s="89"/>
      <c r="DB178" s="89"/>
      <c r="DC178" s="89"/>
    </row>
    <row r="179" spans="1:107" s="58" customFormat="1" ht="12">
      <c r="A179" s="89"/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89"/>
      <c r="CO179" s="89"/>
      <c r="CP179" s="89"/>
      <c r="CQ179" s="89"/>
      <c r="CR179" s="89"/>
      <c r="CS179" s="89"/>
      <c r="CT179" s="89"/>
      <c r="CU179" s="89"/>
      <c r="CV179" s="89"/>
      <c r="CW179" s="89"/>
      <c r="CX179" s="89"/>
      <c r="CY179" s="89"/>
      <c r="CZ179" s="89"/>
      <c r="DA179" s="89"/>
      <c r="DB179" s="89"/>
      <c r="DC179" s="89"/>
    </row>
    <row r="180" spans="1:107" s="58" customFormat="1" ht="12">
      <c r="A180" s="89"/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89"/>
      <c r="CA180" s="89"/>
      <c r="CB180" s="89"/>
      <c r="CC180" s="89"/>
      <c r="CD180" s="89"/>
      <c r="CE180" s="89"/>
      <c r="CF180" s="89"/>
      <c r="CG180" s="89"/>
      <c r="CH180" s="89"/>
      <c r="CI180" s="89"/>
      <c r="CJ180" s="89"/>
      <c r="CK180" s="89"/>
      <c r="CL180" s="89"/>
      <c r="CM180" s="89"/>
      <c r="CN180" s="89"/>
      <c r="CO180" s="89"/>
      <c r="CP180" s="89"/>
      <c r="CQ180" s="89"/>
      <c r="CR180" s="89"/>
      <c r="CS180" s="89"/>
      <c r="CT180" s="89"/>
      <c r="CU180" s="89"/>
      <c r="CV180" s="89"/>
      <c r="CW180" s="89"/>
      <c r="CX180" s="89"/>
      <c r="CY180" s="89"/>
      <c r="CZ180" s="89"/>
      <c r="DA180" s="89"/>
      <c r="DB180" s="89"/>
      <c r="DC180" s="89"/>
    </row>
    <row r="181" spans="1:107" s="58" customFormat="1" ht="12">
      <c r="A181" s="89"/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89"/>
      <c r="CO181" s="89"/>
      <c r="CP181" s="89"/>
      <c r="CQ181" s="89"/>
      <c r="CR181" s="89"/>
      <c r="CS181" s="89"/>
      <c r="CT181" s="89"/>
      <c r="CU181" s="89"/>
      <c r="CV181" s="89"/>
      <c r="CW181" s="89"/>
      <c r="CX181" s="89"/>
      <c r="CY181" s="89"/>
      <c r="CZ181" s="89"/>
      <c r="DA181" s="89"/>
      <c r="DB181" s="89"/>
      <c r="DC181" s="89"/>
    </row>
    <row r="182" spans="1:107" s="58" customFormat="1" ht="12">
      <c r="A182" s="89"/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89"/>
      <c r="CO182" s="89"/>
      <c r="CP182" s="89"/>
      <c r="CQ182" s="89"/>
      <c r="CR182" s="89"/>
      <c r="CS182" s="89"/>
      <c r="CT182" s="89"/>
      <c r="CU182" s="89"/>
      <c r="CV182" s="89"/>
      <c r="CW182" s="89"/>
      <c r="CX182" s="89"/>
      <c r="CY182" s="89"/>
      <c r="CZ182" s="89"/>
      <c r="DA182" s="89"/>
      <c r="DB182" s="89"/>
      <c r="DC182" s="89"/>
    </row>
    <row r="183" spans="1:107" s="58" customFormat="1" ht="12">
      <c r="A183" s="89"/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89"/>
      <c r="CO183" s="89"/>
      <c r="CP183" s="89"/>
      <c r="CQ183" s="89"/>
      <c r="CR183" s="89"/>
      <c r="CS183" s="89"/>
      <c r="CT183" s="89"/>
      <c r="CU183" s="89"/>
      <c r="CV183" s="89"/>
      <c r="CW183" s="89"/>
      <c r="CX183" s="89"/>
      <c r="CY183" s="89"/>
      <c r="CZ183" s="89"/>
      <c r="DA183" s="89"/>
      <c r="DB183" s="89"/>
      <c r="DC183" s="89"/>
    </row>
    <row r="184" spans="1:107" s="58" customFormat="1" ht="12">
      <c r="A184" s="89"/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89"/>
      <c r="CO184" s="89"/>
      <c r="CP184" s="89"/>
      <c r="CQ184" s="89"/>
      <c r="CR184" s="89"/>
      <c r="CS184" s="89"/>
      <c r="CT184" s="89"/>
      <c r="CU184" s="89"/>
      <c r="CV184" s="89"/>
      <c r="CW184" s="89"/>
      <c r="CX184" s="89"/>
      <c r="CY184" s="89"/>
      <c r="CZ184" s="89"/>
      <c r="DA184" s="89"/>
      <c r="DB184" s="89"/>
      <c r="DC184" s="89"/>
    </row>
    <row r="185" spans="1:107" s="58" customFormat="1" ht="12">
      <c r="A185" s="89"/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89"/>
      <c r="BC185" s="89"/>
      <c r="BD185" s="89"/>
      <c r="BE185" s="89"/>
      <c r="BF185" s="89"/>
      <c r="BG185" s="89"/>
      <c r="BH185" s="89"/>
      <c r="BI185" s="89"/>
      <c r="BJ185" s="89"/>
      <c r="BK185" s="89"/>
      <c r="BL185" s="89"/>
      <c r="BM185" s="89"/>
      <c r="BN185" s="89"/>
      <c r="BO185" s="89"/>
      <c r="BP185" s="89"/>
      <c r="BQ185" s="89"/>
      <c r="BR185" s="89"/>
      <c r="BS185" s="89"/>
      <c r="BT185" s="89"/>
      <c r="BU185" s="89"/>
      <c r="BV185" s="89"/>
      <c r="BW185" s="89"/>
      <c r="BX185" s="89"/>
      <c r="BY185" s="89"/>
      <c r="BZ185" s="89"/>
      <c r="CA185" s="89"/>
      <c r="CB185" s="89"/>
      <c r="CC185" s="89"/>
      <c r="CD185" s="89"/>
      <c r="CE185" s="89"/>
      <c r="CF185" s="89"/>
      <c r="CG185" s="89"/>
      <c r="CH185" s="89"/>
      <c r="CI185" s="89"/>
      <c r="CJ185" s="89"/>
      <c r="CK185" s="89"/>
      <c r="CL185" s="89"/>
      <c r="CM185" s="89"/>
      <c r="CN185" s="89"/>
      <c r="CO185" s="89"/>
      <c r="CP185" s="89"/>
      <c r="CQ185" s="89"/>
      <c r="CR185" s="89"/>
      <c r="CS185" s="89"/>
      <c r="CT185" s="89"/>
      <c r="CU185" s="89"/>
      <c r="CV185" s="89"/>
      <c r="CW185" s="89"/>
      <c r="CX185" s="89"/>
      <c r="CY185" s="89"/>
      <c r="CZ185" s="89"/>
      <c r="DA185" s="89"/>
      <c r="DB185" s="89"/>
      <c r="DC185" s="89"/>
    </row>
    <row r="186" spans="1:107" s="58" customFormat="1" ht="12">
      <c r="A186" s="89"/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  <c r="BB186" s="89"/>
      <c r="BC186" s="89"/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/>
      <c r="BV186" s="89"/>
      <c r="BW186" s="89"/>
      <c r="BX186" s="89"/>
      <c r="BY186" s="89"/>
      <c r="BZ186" s="89"/>
      <c r="CA186" s="89"/>
      <c r="CB186" s="89"/>
      <c r="CC186" s="89"/>
      <c r="CD186" s="89"/>
      <c r="CE186" s="89"/>
      <c r="CF186" s="89"/>
      <c r="CG186" s="89"/>
      <c r="CH186" s="89"/>
      <c r="CI186" s="89"/>
      <c r="CJ186" s="89"/>
      <c r="CK186" s="89"/>
      <c r="CL186" s="89"/>
      <c r="CM186" s="89"/>
      <c r="CN186" s="89"/>
      <c r="CO186" s="89"/>
      <c r="CP186" s="89"/>
      <c r="CQ186" s="89"/>
      <c r="CR186" s="89"/>
      <c r="CS186" s="89"/>
      <c r="CT186" s="89"/>
      <c r="CU186" s="89"/>
      <c r="CV186" s="89"/>
      <c r="CW186" s="89"/>
      <c r="CX186" s="89"/>
      <c r="CY186" s="89"/>
      <c r="CZ186" s="89"/>
      <c r="DA186" s="89"/>
      <c r="DB186" s="89"/>
      <c r="DC186" s="89"/>
    </row>
    <row r="187" spans="1:107" s="58" customFormat="1" ht="12">
      <c r="A187" s="89"/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89"/>
      <c r="BC187" s="89"/>
      <c r="BD187" s="89"/>
      <c r="BE187" s="89"/>
      <c r="BF187" s="89"/>
      <c r="BG187" s="89"/>
      <c r="BH187" s="89"/>
      <c r="BI187" s="89"/>
      <c r="BJ187" s="89"/>
      <c r="BK187" s="89"/>
      <c r="BL187" s="89"/>
      <c r="BM187" s="89"/>
      <c r="BN187" s="89"/>
      <c r="BO187" s="89"/>
      <c r="BP187" s="89"/>
      <c r="BQ187" s="89"/>
      <c r="BR187" s="89"/>
      <c r="BS187" s="89"/>
      <c r="BT187" s="89"/>
      <c r="BU187" s="89"/>
      <c r="BV187" s="89"/>
      <c r="BW187" s="89"/>
      <c r="BX187" s="89"/>
      <c r="BY187" s="89"/>
      <c r="BZ187" s="89"/>
      <c r="CA187" s="89"/>
      <c r="CB187" s="89"/>
      <c r="CC187" s="89"/>
      <c r="CD187" s="89"/>
      <c r="CE187" s="89"/>
      <c r="CF187" s="89"/>
      <c r="CG187" s="89"/>
      <c r="CH187" s="89"/>
      <c r="CI187" s="89"/>
      <c r="CJ187" s="89"/>
      <c r="CK187" s="89"/>
      <c r="CL187" s="89"/>
      <c r="CM187" s="89"/>
      <c r="CN187" s="89"/>
      <c r="CO187" s="89"/>
      <c r="CP187" s="89"/>
      <c r="CQ187" s="89"/>
      <c r="CR187" s="89"/>
      <c r="CS187" s="89"/>
      <c r="CT187" s="89"/>
      <c r="CU187" s="89"/>
      <c r="CV187" s="89"/>
      <c r="CW187" s="89"/>
      <c r="CX187" s="89"/>
      <c r="CY187" s="89"/>
      <c r="CZ187" s="89"/>
      <c r="DA187" s="89"/>
      <c r="DB187" s="89"/>
      <c r="DC187" s="89"/>
    </row>
    <row r="188" spans="1:107" s="58" customFormat="1" ht="12">
      <c r="A188" s="89"/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  <c r="BB188" s="89"/>
      <c r="BC188" s="89"/>
      <c r="BD188" s="89"/>
      <c r="BE188" s="89"/>
      <c r="BF188" s="89"/>
      <c r="BG188" s="89"/>
      <c r="BH188" s="89"/>
      <c r="BI188" s="89"/>
      <c r="BJ188" s="89"/>
      <c r="BK188" s="89"/>
      <c r="BL188" s="89"/>
      <c r="BM188" s="89"/>
      <c r="BN188" s="89"/>
      <c r="BO188" s="89"/>
      <c r="BP188" s="89"/>
      <c r="BQ188" s="89"/>
      <c r="BR188" s="89"/>
      <c r="BS188" s="89"/>
      <c r="BT188" s="89"/>
      <c r="BU188" s="89"/>
      <c r="BV188" s="89"/>
      <c r="BW188" s="89"/>
      <c r="BX188" s="89"/>
      <c r="BY188" s="89"/>
      <c r="BZ188" s="89"/>
      <c r="CA188" s="89"/>
      <c r="CB188" s="89"/>
      <c r="CC188" s="89"/>
      <c r="CD188" s="89"/>
      <c r="CE188" s="89"/>
      <c r="CF188" s="89"/>
      <c r="CG188" s="89"/>
      <c r="CH188" s="89"/>
      <c r="CI188" s="89"/>
      <c r="CJ188" s="89"/>
      <c r="CK188" s="89"/>
      <c r="CL188" s="89"/>
      <c r="CM188" s="89"/>
      <c r="CN188" s="89"/>
      <c r="CO188" s="89"/>
      <c r="CP188" s="89"/>
      <c r="CQ188" s="89"/>
      <c r="CR188" s="89"/>
      <c r="CS188" s="89"/>
      <c r="CT188" s="89"/>
      <c r="CU188" s="89"/>
      <c r="CV188" s="89"/>
      <c r="CW188" s="89"/>
      <c r="CX188" s="89"/>
      <c r="CY188" s="89"/>
      <c r="CZ188" s="89"/>
      <c r="DA188" s="89"/>
      <c r="DB188" s="89"/>
      <c r="DC188" s="89"/>
    </row>
    <row r="189" spans="1:107" s="58" customFormat="1" ht="12">
      <c r="A189" s="89"/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89"/>
      <c r="BC189" s="89"/>
      <c r="BD189" s="89"/>
      <c r="BE189" s="89"/>
      <c r="BF189" s="89"/>
      <c r="BG189" s="89"/>
      <c r="BH189" s="89"/>
      <c r="BI189" s="89"/>
      <c r="BJ189" s="89"/>
      <c r="BK189" s="89"/>
      <c r="BL189" s="89"/>
      <c r="BM189" s="89"/>
      <c r="BN189" s="89"/>
      <c r="BO189" s="89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  <c r="CA189" s="89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89"/>
      <c r="CO189" s="89"/>
      <c r="CP189" s="89"/>
      <c r="CQ189" s="89"/>
      <c r="CR189" s="89"/>
      <c r="CS189" s="89"/>
      <c r="CT189" s="89"/>
      <c r="CU189" s="89"/>
      <c r="CV189" s="89"/>
      <c r="CW189" s="89"/>
      <c r="CX189" s="89"/>
      <c r="CY189" s="89"/>
      <c r="CZ189" s="89"/>
      <c r="DA189" s="89"/>
      <c r="DB189" s="89"/>
      <c r="DC189" s="89"/>
    </row>
    <row r="190" spans="1:107" s="58" customFormat="1" ht="12">
      <c r="A190" s="89"/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  <c r="BB190" s="89"/>
      <c r="BC190" s="89"/>
      <c r="BD190" s="89"/>
      <c r="BE190" s="89"/>
      <c r="BF190" s="89"/>
      <c r="BG190" s="89"/>
      <c r="BH190" s="89"/>
      <c r="BI190" s="89"/>
      <c r="BJ190" s="89"/>
      <c r="BK190" s="89"/>
      <c r="BL190" s="89"/>
      <c r="BM190" s="89"/>
      <c r="BN190" s="89"/>
      <c r="BO190" s="89"/>
      <c r="BP190" s="89"/>
      <c r="BQ190" s="89"/>
      <c r="BR190" s="89"/>
      <c r="BS190" s="89"/>
      <c r="BT190" s="89"/>
      <c r="BU190" s="89"/>
      <c r="BV190" s="89"/>
      <c r="BW190" s="89"/>
      <c r="BX190" s="89"/>
      <c r="BY190" s="89"/>
      <c r="BZ190" s="89"/>
      <c r="CA190" s="89"/>
      <c r="CB190" s="89"/>
      <c r="CC190" s="89"/>
      <c r="CD190" s="89"/>
      <c r="CE190" s="89"/>
      <c r="CF190" s="89"/>
      <c r="CG190" s="89"/>
      <c r="CH190" s="89"/>
      <c r="CI190" s="89"/>
      <c r="CJ190" s="89"/>
      <c r="CK190" s="89"/>
      <c r="CL190" s="89"/>
      <c r="CM190" s="89"/>
      <c r="CN190" s="89"/>
      <c r="CO190" s="89"/>
      <c r="CP190" s="89"/>
      <c r="CQ190" s="89"/>
      <c r="CR190" s="89"/>
      <c r="CS190" s="89"/>
      <c r="CT190" s="89"/>
      <c r="CU190" s="89"/>
      <c r="CV190" s="89"/>
      <c r="CW190" s="89"/>
      <c r="CX190" s="89"/>
      <c r="CY190" s="89"/>
      <c r="CZ190" s="89"/>
      <c r="DA190" s="89"/>
      <c r="DB190" s="89"/>
      <c r="DC190" s="89"/>
    </row>
    <row r="191" spans="1:107" s="58" customFormat="1" ht="12">
      <c r="A191" s="89"/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  <c r="BB191" s="89"/>
      <c r="BC191" s="89"/>
      <c r="BD191" s="89"/>
      <c r="BE191" s="89"/>
      <c r="BF191" s="89"/>
      <c r="BG191" s="89"/>
      <c r="BH191" s="89"/>
      <c r="BI191" s="89"/>
      <c r="BJ191" s="89"/>
      <c r="BK191" s="89"/>
      <c r="BL191" s="89"/>
      <c r="BM191" s="89"/>
      <c r="BN191" s="89"/>
      <c r="BO191" s="89"/>
      <c r="BP191" s="89"/>
      <c r="BQ191" s="89"/>
      <c r="BR191" s="89"/>
      <c r="BS191" s="89"/>
      <c r="BT191" s="89"/>
      <c r="BU191" s="89"/>
      <c r="BV191" s="89"/>
      <c r="BW191" s="89"/>
      <c r="BX191" s="89"/>
      <c r="BY191" s="89"/>
      <c r="BZ191" s="89"/>
      <c r="CA191" s="89"/>
      <c r="CB191" s="89"/>
      <c r="CC191" s="89"/>
      <c r="CD191" s="89"/>
      <c r="CE191" s="89"/>
      <c r="CF191" s="89"/>
      <c r="CG191" s="89"/>
      <c r="CH191" s="89"/>
      <c r="CI191" s="89"/>
      <c r="CJ191" s="89"/>
      <c r="CK191" s="89"/>
      <c r="CL191" s="89"/>
      <c r="CM191" s="89"/>
      <c r="CN191" s="89"/>
      <c r="CO191" s="89"/>
      <c r="CP191" s="89"/>
      <c r="CQ191" s="89"/>
      <c r="CR191" s="89"/>
      <c r="CS191" s="89"/>
      <c r="CT191" s="89"/>
      <c r="CU191" s="89"/>
      <c r="CV191" s="89"/>
      <c r="CW191" s="89"/>
      <c r="CX191" s="89"/>
      <c r="CY191" s="89"/>
      <c r="CZ191" s="89"/>
      <c r="DA191" s="89"/>
      <c r="DB191" s="89"/>
      <c r="DC191" s="89"/>
    </row>
    <row r="192" spans="1:107" s="58" customFormat="1" ht="12">
      <c r="A192" s="89"/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  <c r="BB192" s="89"/>
      <c r="BC192" s="89"/>
      <c r="BD192" s="89"/>
      <c r="BE192" s="89"/>
      <c r="BF192" s="89"/>
      <c r="BG192" s="89"/>
      <c r="BH192" s="89"/>
      <c r="BI192" s="89"/>
      <c r="BJ192" s="89"/>
      <c r="BK192" s="89"/>
      <c r="BL192" s="89"/>
      <c r="BM192" s="89"/>
      <c r="BN192" s="89"/>
      <c r="BO192" s="89"/>
      <c r="BP192" s="89"/>
      <c r="BQ192" s="89"/>
      <c r="BR192" s="89"/>
      <c r="BS192" s="89"/>
      <c r="BT192" s="89"/>
      <c r="BU192" s="89"/>
      <c r="BV192" s="89"/>
      <c r="BW192" s="89"/>
      <c r="BX192" s="89"/>
      <c r="BY192" s="89"/>
      <c r="BZ192" s="89"/>
      <c r="CA192" s="89"/>
      <c r="CB192" s="89"/>
      <c r="CC192" s="89"/>
      <c r="CD192" s="89"/>
      <c r="CE192" s="89"/>
      <c r="CF192" s="89"/>
      <c r="CG192" s="89"/>
      <c r="CH192" s="89"/>
      <c r="CI192" s="89"/>
      <c r="CJ192" s="89"/>
      <c r="CK192" s="89"/>
      <c r="CL192" s="89"/>
      <c r="CM192" s="89"/>
      <c r="CN192" s="89"/>
      <c r="CO192" s="89"/>
      <c r="CP192" s="89"/>
      <c r="CQ192" s="89"/>
      <c r="CR192" s="89"/>
      <c r="CS192" s="89"/>
      <c r="CT192" s="89"/>
      <c r="CU192" s="89"/>
      <c r="CV192" s="89"/>
      <c r="CW192" s="89"/>
      <c r="CX192" s="89"/>
      <c r="CY192" s="89"/>
      <c r="CZ192" s="89"/>
      <c r="DA192" s="89"/>
      <c r="DB192" s="89"/>
      <c r="DC192" s="89"/>
    </row>
    <row r="193" spans="1:107" s="58" customFormat="1" ht="12">
      <c r="A193" s="89"/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  <c r="BB193" s="89"/>
      <c r="BC193" s="89"/>
      <c r="BD193" s="89"/>
      <c r="BE193" s="89"/>
      <c r="BF193" s="89"/>
      <c r="BG193" s="89"/>
      <c r="BH193" s="89"/>
      <c r="BI193" s="89"/>
      <c r="BJ193" s="89"/>
      <c r="BK193" s="89"/>
      <c r="BL193" s="89"/>
      <c r="BM193" s="89"/>
      <c r="BN193" s="89"/>
      <c r="BO193" s="89"/>
      <c r="BP193" s="89"/>
      <c r="BQ193" s="89"/>
      <c r="BR193" s="89"/>
      <c r="BS193" s="89"/>
      <c r="BT193" s="89"/>
      <c r="BU193" s="89"/>
      <c r="BV193" s="89"/>
      <c r="BW193" s="89"/>
      <c r="BX193" s="89"/>
      <c r="BY193" s="89"/>
      <c r="BZ193" s="89"/>
      <c r="CA193" s="89"/>
      <c r="CB193" s="89"/>
      <c r="CC193" s="89"/>
      <c r="CD193" s="89"/>
      <c r="CE193" s="89"/>
      <c r="CF193" s="89"/>
      <c r="CG193" s="89"/>
      <c r="CH193" s="89"/>
      <c r="CI193" s="89"/>
      <c r="CJ193" s="89"/>
      <c r="CK193" s="89"/>
      <c r="CL193" s="89"/>
      <c r="CM193" s="89"/>
      <c r="CN193" s="89"/>
      <c r="CO193" s="89"/>
      <c r="CP193" s="89"/>
      <c r="CQ193" s="89"/>
      <c r="CR193" s="89"/>
      <c r="CS193" s="89"/>
      <c r="CT193" s="89"/>
      <c r="CU193" s="89"/>
      <c r="CV193" s="89"/>
      <c r="CW193" s="89"/>
      <c r="CX193" s="89"/>
      <c r="CY193" s="89"/>
      <c r="CZ193" s="89"/>
      <c r="DA193" s="89"/>
      <c r="DB193" s="89"/>
      <c r="DC193" s="89"/>
    </row>
    <row r="194" spans="1:107" s="58" customFormat="1" ht="12">
      <c r="A194" s="89"/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89"/>
      <c r="BC194" s="89"/>
      <c r="BD194" s="89"/>
      <c r="BE194" s="89"/>
      <c r="BF194" s="89"/>
      <c r="BG194" s="89"/>
      <c r="BH194" s="89"/>
      <c r="BI194" s="89"/>
      <c r="BJ194" s="89"/>
      <c r="BK194" s="89"/>
      <c r="BL194" s="89"/>
      <c r="BM194" s="89"/>
      <c r="BN194" s="89"/>
      <c r="BO194" s="89"/>
      <c r="BP194" s="89"/>
      <c r="BQ194" s="89"/>
      <c r="BR194" s="89"/>
      <c r="BS194" s="89"/>
      <c r="BT194" s="89"/>
      <c r="BU194" s="89"/>
      <c r="BV194" s="89"/>
      <c r="BW194" s="89"/>
      <c r="BX194" s="89"/>
      <c r="BY194" s="89"/>
      <c r="BZ194" s="89"/>
      <c r="CA194" s="89"/>
      <c r="CB194" s="89"/>
      <c r="CC194" s="89"/>
      <c r="CD194" s="89"/>
      <c r="CE194" s="89"/>
      <c r="CF194" s="89"/>
      <c r="CG194" s="89"/>
      <c r="CH194" s="89"/>
      <c r="CI194" s="89"/>
      <c r="CJ194" s="89"/>
      <c r="CK194" s="89"/>
      <c r="CL194" s="89"/>
      <c r="CM194" s="89"/>
      <c r="CN194" s="89"/>
      <c r="CO194" s="89"/>
      <c r="CP194" s="89"/>
      <c r="CQ194" s="89"/>
      <c r="CR194" s="89"/>
      <c r="CS194" s="89"/>
      <c r="CT194" s="89"/>
      <c r="CU194" s="89"/>
      <c r="CV194" s="89"/>
      <c r="CW194" s="89"/>
      <c r="CX194" s="89"/>
      <c r="CY194" s="89"/>
      <c r="CZ194" s="89"/>
      <c r="DA194" s="89"/>
      <c r="DB194" s="89"/>
      <c r="DC194" s="89"/>
    </row>
    <row r="195" spans="1:107" s="58" customFormat="1" ht="12">
      <c r="A195" s="89"/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  <c r="BB195" s="89"/>
      <c r="BC195" s="89"/>
      <c r="BD195" s="89"/>
      <c r="BE195" s="89"/>
      <c r="BF195" s="89"/>
      <c r="BG195" s="89"/>
      <c r="BH195" s="89"/>
      <c r="BI195" s="89"/>
      <c r="BJ195" s="89"/>
      <c r="BK195" s="89"/>
      <c r="BL195" s="89"/>
      <c r="BM195" s="89"/>
      <c r="BN195" s="89"/>
      <c r="BO195" s="89"/>
      <c r="BP195" s="89"/>
      <c r="BQ195" s="89"/>
      <c r="BR195" s="89"/>
      <c r="BS195" s="89"/>
      <c r="BT195" s="89"/>
      <c r="BU195" s="89"/>
      <c r="BV195" s="89"/>
      <c r="BW195" s="89"/>
      <c r="BX195" s="89"/>
      <c r="BY195" s="89"/>
      <c r="BZ195" s="89"/>
      <c r="CA195" s="89"/>
      <c r="CB195" s="89"/>
      <c r="CC195" s="89"/>
      <c r="CD195" s="89"/>
      <c r="CE195" s="89"/>
      <c r="CF195" s="89"/>
      <c r="CG195" s="89"/>
      <c r="CH195" s="89"/>
      <c r="CI195" s="89"/>
      <c r="CJ195" s="89"/>
      <c r="CK195" s="89"/>
      <c r="CL195" s="89"/>
      <c r="CM195" s="89"/>
      <c r="CN195" s="89"/>
      <c r="CO195" s="89"/>
      <c r="CP195" s="89"/>
      <c r="CQ195" s="89"/>
      <c r="CR195" s="89"/>
      <c r="CS195" s="89"/>
      <c r="CT195" s="89"/>
      <c r="CU195" s="89"/>
      <c r="CV195" s="89"/>
      <c r="CW195" s="89"/>
      <c r="CX195" s="89"/>
      <c r="CY195" s="89"/>
      <c r="CZ195" s="89"/>
      <c r="DA195" s="89"/>
      <c r="DB195" s="89"/>
      <c r="DC195" s="89"/>
    </row>
    <row r="196" spans="1:107" s="58" customFormat="1" ht="12">
      <c r="A196" s="89"/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  <c r="BB196" s="89"/>
      <c r="BC196" s="89"/>
      <c r="BD196" s="89"/>
      <c r="BE196" s="89"/>
      <c r="BF196" s="89"/>
      <c r="BG196" s="89"/>
      <c r="BH196" s="89"/>
      <c r="BI196" s="89"/>
      <c r="BJ196" s="89"/>
      <c r="BK196" s="89"/>
      <c r="BL196" s="89"/>
      <c r="BM196" s="89"/>
      <c r="BN196" s="89"/>
      <c r="BO196" s="89"/>
      <c r="BP196" s="89"/>
      <c r="BQ196" s="89"/>
      <c r="BR196" s="89"/>
      <c r="BS196" s="89"/>
      <c r="BT196" s="89"/>
      <c r="BU196" s="89"/>
      <c r="BV196" s="89"/>
      <c r="BW196" s="89"/>
      <c r="BX196" s="89"/>
      <c r="BY196" s="89"/>
      <c r="BZ196" s="89"/>
      <c r="CA196" s="89"/>
      <c r="CB196" s="89"/>
      <c r="CC196" s="89"/>
      <c r="CD196" s="89"/>
      <c r="CE196" s="89"/>
      <c r="CF196" s="89"/>
      <c r="CG196" s="89"/>
      <c r="CH196" s="89"/>
      <c r="CI196" s="89"/>
      <c r="CJ196" s="89"/>
      <c r="CK196" s="89"/>
      <c r="CL196" s="89"/>
      <c r="CM196" s="89"/>
      <c r="CN196" s="89"/>
      <c r="CO196" s="89"/>
      <c r="CP196" s="89"/>
      <c r="CQ196" s="89"/>
      <c r="CR196" s="89"/>
      <c r="CS196" s="89"/>
      <c r="CT196" s="89"/>
      <c r="CU196" s="89"/>
      <c r="CV196" s="89"/>
      <c r="CW196" s="89"/>
      <c r="CX196" s="89"/>
      <c r="CY196" s="89"/>
      <c r="CZ196" s="89"/>
      <c r="DA196" s="89"/>
      <c r="DB196" s="89"/>
      <c r="DC196" s="89"/>
    </row>
    <row r="197" spans="1:107" s="58" customFormat="1" ht="12">
      <c r="A197" s="89"/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89"/>
      <c r="BC197" s="89"/>
      <c r="BD197" s="89"/>
      <c r="BE197" s="89"/>
      <c r="BF197" s="89"/>
      <c r="BG197" s="89"/>
      <c r="BH197" s="89"/>
      <c r="BI197" s="89"/>
      <c r="BJ197" s="89"/>
      <c r="BK197" s="89"/>
      <c r="BL197" s="89"/>
      <c r="BM197" s="89"/>
      <c r="BN197" s="89"/>
      <c r="BO197" s="89"/>
      <c r="BP197" s="89"/>
      <c r="BQ197" s="89"/>
      <c r="BR197" s="89"/>
      <c r="BS197" s="89"/>
      <c r="BT197" s="89"/>
      <c r="BU197" s="89"/>
      <c r="BV197" s="89"/>
      <c r="BW197" s="89"/>
      <c r="BX197" s="89"/>
      <c r="BY197" s="89"/>
      <c r="BZ197" s="89"/>
      <c r="CA197" s="89"/>
      <c r="CB197" s="89"/>
      <c r="CC197" s="89"/>
      <c r="CD197" s="89"/>
      <c r="CE197" s="89"/>
      <c r="CF197" s="89"/>
      <c r="CG197" s="89"/>
      <c r="CH197" s="89"/>
      <c r="CI197" s="89"/>
      <c r="CJ197" s="89"/>
      <c r="CK197" s="89"/>
      <c r="CL197" s="89"/>
      <c r="CM197" s="89"/>
      <c r="CN197" s="89"/>
      <c r="CO197" s="89"/>
      <c r="CP197" s="89"/>
      <c r="CQ197" s="89"/>
      <c r="CR197" s="89"/>
      <c r="CS197" s="89"/>
      <c r="CT197" s="89"/>
      <c r="CU197" s="89"/>
      <c r="CV197" s="89"/>
      <c r="CW197" s="89"/>
      <c r="CX197" s="89"/>
      <c r="CY197" s="89"/>
      <c r="CZ197" s="89"/>
      <c r="DA197" s="89"/>
      <c r="DB197" s="89"/>
      <c r="DC197" s="89"/>
    </row>
    <row r="198" spans="1:107" s="58" customFormat="1" ht="12">
      <c r="A198" s="89"/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  <c r="BB198" s="89"/>
      <c r="BC198" s="89"/>
      <c r="BD198" s="89"/>
      <c r="BE198" s="89"/>
      <c r="BF198" s="89"/>
      <c r="BG198" s="89"/>
      <c r="BH198" s="89"/>
      <c r="BI198" s="89"/>
      <c r="BJ198" s="89"/>
      <c r="BK198" s="89"/>
      <c r="BL198" s="89"/>
      <c r="BM198" s="89"/>
      <c r="BN198" s="89"/>
      <c r="BO198" s="89"/>
      <c r="BP198" s="89"/>
      <c r="BQ198" s="89"/>
      <c r="BR198" s="89"/>
      <c r="BS198" s="89"/>
      <c r="BT198" s="89"/>
      <c r="BU198" s="89"/>
      <c r="BV198" s="89"/>
      <c r="BW198" s="89"/>
      <c r="BX198" s="89"/>
      <c r="BY198" s="89"/>
      <c r="BZ198" s="89"/>
      <c r="CA198" s="89"/>
      <c r="CB198" s="89"/>
      <c r="CC198" s="89"/>
      <c r="CD198" s="89"/>
      <c r="CE198" s="89"/>
      <c r="CF198" s="89"/>
      <c r="CG198" s="89"/>
      <c r="CH198" s="89"/>
      <c r="CI198" s="89"/>
      <c r="CJ198" s="89"/>
      <c r="CK198" s="89"/>
      <c r="CL198" s="89"/>
      <c r="CM198" s="89"/>
      <c r="CN198" s="89"/>
      <c r="CO198" s="89"/>
      <c r="CP198" s="89"/>
      <c r="CQ198" s="89"/>
      <c r="CR198" s="89"/>
      <c r="CS198" s="89"/>
      <c r="CT198" s="89"/>
      <c r="CU198" s="89"/>
      <c r="CV198" s="89"/>
      <c r="CW198" s="89"/>
      <c r="CX198" s="89"/>
      <c r="CY198" s="89"/>
      <c r="CZ198" s="89"/>
      <c r="DA198" s="89"/>
      <c r="DB198" s="89"/>
      <c r="DC198" s="89"/>
    </row>
    <row r="199" spans="1:107" s="58" customFormat="1" ht="12">
      <c r="A199" s="89"/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  <c r="BB199" s="89"/>
      <c r="BC199" s="89"/>
      <c r="BD199" s="89"/>
      <c r="BE199" s="89"/>
      <c r="BF199" s="89"/>
      <c r="BG199" s="89"/>
      <c r="BH199" s="89"/>
      <c r="BI199" s="89"/>
      <c r="BJ199" s="89"/>
      <c r="BK199" s="89"/>
      <c r="BL199" s="89"/>
      <c r="BM199" s="89"/>
      <c r="BN199" s="89"/>
      <c r="BO199" s="89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  <c r="CA199" s="89"/>
      <c r="CB199" s="89"/>
      <c r="CC199" s="89"/>
      <c r="CD199" s="89"/>
      <c r="CE199" s="89"/>
      <c r="CF199" s="89"/>
      <c r="CG199" s="89"/>
      <c r="CH199" s="89"/>
      <c r="CI199" s="89"/>
      <c r="CJ199" s="89"/>
      <c r="CK199" s="89"/>
      <c r="CL199" s="89"/>
      <c r="CM199" s="89"/>
      <c r="CN199" s="89"/>
      <c r="CO199" s="89"/>
      <c r="CP199" s="89"/>
      <c r="CQ199" s="89"/>
      <c r="CR199" s="89"/>
      <c r="CS199" s="89"/>
      <c r="CT199" s="89"/>
      <c r="CU199" s="89"/>
      <c r="CV199" s="89"/>
      <c r="CW199" s="89"/>
      <c r="CX199" s="89"/>
      <c r="CY199" s="89"/>
      <c r="CZ199" s="89"/>
      <c r="DA199" s="89"/>
      <c r="DB199" s="89"/>
      <c r="DC199" s="89"/>
    </row>
    <row r="200" spans="1:107" s="58" customFormat="1" ht="12">
      <c r="A200" s="89"/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89"/>
      <c r="BC200" s="89"/>
      <c r="BD200" s="89"/>
      <c r="BE200" s="89"/>
      <c r="BF200" s="89"/>
      <c r="BG200" s="89"/>
      <c r="BH200" s="89"/>
      <c r="BI200" s="89"/>
      <c r="BJ200" s="89"/>
      <c r="BK200" s="89"/>
      <c r="BL200" s="89"/>
      <c r="BM200" s="89"/>
      <c r="BN200" s="89"/>
      <c r="BO200" s="89"/>
      <c r="BP200" s="89"/>
      <c r="BQ200" s="89"/>
      <c r="BR200" s="89"/>
      <c r="BS200" s="89"/>
      <c r="BT200" s="89"/>
      <c r="BU200" s="89"/>
      <c r="BV200" s="89"/>
      <c r="BW200" s="89"/>
      <c r="BX200" s="89"/>
      <c r="BY200" s="89"/>
      <c r="BZ200" s="89"/>
      <c r="CA200" s="89"/>
      <c r="CB200" s="89"/>
      <c r="CC200" s="89"/>
      <c r="CD200" s="89"/>
      <c r="CE200" s="89"/>
      <c r="CF200" s="89"/>
      <c r="CG200" s="89"/>
      <c r="CH200" s="89"/>
      <c r="CI200" s="89"/>
      <c r="CJ200" s="89"/>
      <c r="CK200" s="89"/>
      <c r="CL200" s="89"/>
      <c r="CM200" s="89"/>
      <c r="CN200" s="89"/>
      <c r="CO200" s="89"/>
      <c r="CP200" s="89"/>
      <c r="CQ200" s="89"/>
      <c r="CR200" s="89"/>
      <c r="CS200" s="89"/>
      <c r="CT200" s="89"/>
      <c r="CU200" s="89"/>
      <c r="CV200" s="89"/>
      <c r="CW200" s="89"/>
      <c r="CX200" s="89"/>
      <c r="CY200" s="89"/>
      <c r="CZ200" s="89"/>
      <c r="DA200" s="89"/>
      <c r="DB200" s="89"/>
      <c r="DC200" s="89"/>
    </row>
    <row r="201" spans="1:107" s="58" customFormat="1" ht="12">
      <c r="A201" s="89"/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89"/>
      <c r="BC201" s="89"/>
      <c r="BD201" s="89"/>
      <c r="BE201" s="89"/>
      <c r="BF201" s="89"/>
      <c r="BG201" s="89"/>
      <c r="BH201" s="89"/>
      <c r="BI201" s="89"/>
      <c r="BJ201" s="89"/>
      <c r="BK201" s="89"/>
      <c r="BL201" s="89"/>
      <c r="BM201" s="89"/>
      <c r="BN201" s="89"/>
      <c r="BO201" s="89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89"/>
      <c r="CO201" s="89"/>
      <c r="CP201" s="89"/>
      <c r="CQ201" s="89"/>
      <c r="CR201" s="89"/>
      <c r="CS201" s="89"/>
      <c r="CT201" s="89"/>
      <c r="CU201" s="89"/>
      <c r="CV201" s="89"/>
      <c r="CW201" s="89"/>
      <c r="CX201" s="89"/>
      <c r="CY201" s="89"/>
      <c r="CZ201" s="89"/>
      <c r="DA201" s="89"/>
      <c r="DB201" s="89"/>
      <c r="DC201" s="89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7"/>
  <sheetViews>
    <sheetView zoomScale="125" zoomScaleNormal="12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" sqref="B1"/>
    </sheetView>
  </sheetViews>
  <sheetFormatPr defaultColWidth="8.8515625" defaultRowHeight="12.75"/>
  <cols>
    <col min="1" max="1" width="29.7109375" style="7" customWidth="1"/>
    <col min="2" max="18" width="15.7109375" style="7" customWidth="1"/>
    <col min="19" max="16384" width="8.8515625" style="7" customWidth="1"/>
  </cols>
  <sheetData>
    <row r="1" spans="1:19" ht="16.5">
      <c r="A1" s="227" t="s">
        <v>404</v>
      </c>
      <c r="B1" s="161" t="s">
        <v>369</v>
      </c>
      <c r="C1" s="288" t="s">
        <v>92</v>
      </c>
      <c r="D1" s="289"/>
      <c r="E1" s="289"/>
      <c r="F1" s="289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24"/>
    </row>
    <row r="2" spans="1:19" ht="18" customHeight="1">
      <c r="A2" s="163"/>
      <c r="B2" s="158"/>
      <c r="C2" s="289"/>
      <c r="D2" s="289"/>
      <c r="E2" s="289"/>
      <c r="F2" s="289"/>
      <c r="G2" s="158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24"/>
    </row>
    <row r="3" spans="1:19" ht="12">
      <c r="A3" s="164"/>
      <c r="B3" s="164"/>
      <c r="C3" s="226" t="s">
        <v>403</v>
      </c>
      <c r="D3" s="169"/>
      <c r="E3" s="169"/>
      <c r="F3" s="169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24"/>
    </row>
    <row r="4" spans="1:19" ht="12">
      <c r="A4" s="228" t="s">
        <v>374</v>
      </c>
      <c r="B4" s="286" t="str">
        <f>B82</f>
        <v>KOHL'S  </v>
      </c>
      <c r="C4" s="287"/>
      <c r="D4" s="251" t="str">
        <f>D82</f>
        <v>KSS</v>
      </c>
      <c r="E4" s="250" t="str">
        <f>IF(D4="","",HYPERLINK(CONCATENATE("http://www.sec.gov/cgi-bin/browse-edgar?type=10-K&amp;action=getcompany&amp;CIK=",D4),"Link to Form 10-Ks"))</f>
        <v>Link to Form 10-Ks</v>
      </c>
      <c r="G4" s="124"/>
      <c r="H4" s="276"/>
      <c r="I4" s="132"/>
      <c r="J4" s="124"/>
      <c r="K4" s="124"/>
      <c r="L4" s="124"/>
      <c r="M4" s="124"/>
      <c r="N4" s="124"/>
      <c r="O4" s="124"/>
      <c r="P4" s="124"/>
      <c r="Q4" s="124"/>
      <c r="R4" s="124"/>
      <c r="S4" s="124"/>
    </row>
    <row r="5" spans="1:19" ht="12">
      <c r="A5" s="228" t="s">
        <v>375</v>
      </c>
      <c r="B5" s="112">
        <f>B83</f>
        <v>7154</v>
      </c>
      <c r="C5" s="6" t="s">
        <v>264</v>
      </c>
      <c r="D5" s="6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</row>
    <row r="6" spans="1:19" ht="12">
      <c r="A6" s="147" t="str">
        <f>"Estimated Price/Share="&amp;DOLLAR('Valuation Parameters'!B24)</f>
        <v>Estimated Price/Share=$83,704.27</v>
      </c>
      <c r="B6" s="6"/>
      <c r="C6" s="6"/>
      <c r="D6" s="6"/>
      <c r="E6" s="21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</row>
    <row r="7" spans="1:23" ht="12">
      <c r="A7" s="6"/>
      <c r="B7" s="12" t="s">
        <v>411</v>
      </c>
      <c r="C7" s="12" t="s">
        <v>411</v>
      </c>
      <c r="D7" s="12" t="s">
        <v>411</v>
      </c>
      <c r="E7" s="12" t="s">
        <v>411</v>
      </c>
      <c r="F7" s="12" t="s">
        <v>411</v>
      </c>
      <c r="G7" s="121" t="s">
        <v>412</v>
      </c>
      <c r="H7" s="121" t="s">
        <v>412</v>
      </c>
      <c r="I7" s="121" t="s">
        <v>412</v>
      </c>
      <c r="J7" s="121" t="s">
        <v>412</v>
      </c>
      <c r="K7" s="121" t="s">
        <v>412</v>
      </c>
      <c r="L7" s="121" t="s">
        <v>412</v>
      </c>
      <c r="M7" s="121" t="s">
        <v>412</v>
      </c>
      <c r="N7" s="121" t="s">
        <v>412</v>
      </c>
      <c r="O7" s="121" t="s">
        <v>412</v>
      </c>
      <c r="P7" s="121" t="s">
        <v>412</v>
      </c>
      <c r="Q7" s="121" t="s">
        <v>412</v>
      </c>
      <c r="R7" s="121" t="s">
        <v>412</v>
      </c>
      <c r="S7" s="121"/>
      <c r="T7" s="8"/>
      <c r="U7" s="8"/>
      <c r="V7" s="8"/>
      <c r="W7" s="8"/>
    </row>
    <row r="8" spans="1:23" ht="12.75" thickBot="1">
      <c r="A8" s="229" t="s">
        <v>49</v>
      </c>
      <c r="B8" s="252">
        <f>B84</f>
        <v>39447</v>
      </c>
      <c r="C8" s="252">
        <f>C84</f>
        <v>39813</v>
      </c>
      <c r="D8" s="252">
        <f>D84</f>
        <v>40178</v>
      </c>
      <c r="E8" s="252">
        <f>E84</f>
        <v>40543</v>
      </c>
      <c r="F8" s="252">
        <f>F84</f>
        <v>40908</v>
      </c>
      <c r="G8" s="253">
        <f>DATE(YEAR(F8)+1,MONTH(F8),DAY(F8))</f>
        <v>41274</v>
      </c>
      <c r="H8" s="253">
        <f aca="true" t="shared" si="0" ref="H8:R8">DATE(YEAR(G8)+1,MONTH(G8),DAY(G8))</f>
        <v>41639</v>
      </c>
      <c r="I8" s="253">
        <f t="shared" si="0"/>
        <v>42004</v>
      </c>
      <c r="J8" s="253">
        <f t="shared" si="0"/>
        <v>42369</v>
      </c>
      <c r="K8" s="253">
        <f t="shared" si="0"/>
        <v>42735</v>
      </c>
      <c r="L8" s="253">
        <f t="shared" si="0"/>
        <v>43100</v>
      </c>
      <c r="M8" s="253">
        <f t="shared" si="0"/>
        <v>43465</v>
      </c>
      <c r="N8" s="253">
        <f t="shared" si="0"/>
        <v>43830</v>
      </c>
      <c r="O8" s="253">
        <f t="shared" si="0"/>
        <v>44196</v>
      </c>
      <c r="P8" s="253">
        <f t="shared" si="0"/>
        <v>44561</v>
      </c>
      <c r="Q8" s="253">
        <f t="shared" si="0"/>
        <v>44926</v>
      </c>
      <c r="R8" s="253">
        <f t="shared" si="0"/>
        <v>45291</v>
      </c>
      <c r="S8" s="121"/>
      <c r="T8" s="8"/>
      <c r="U8" s="8"/>
      <c r="V8" s="8"/>
      <c r="W8" s="8"/>
    </row>
    <row r="9" spans="2:6" s="124" customFormat="1" ht="12">
      <c r="B9" s="7"/>
      <c r="C9" s="7"/>
      <c r="D9" s="7"/>
      <c r="E9" s="13"/>
      <c r="F9" s="13"/>
    </row>
    <row r="10" spans="1:6" s="124" customFormat="1" ht="12">
      <c r="A10" s="125" t="s">
        <v>64</v>
      </c>
      <c r="B10" s="6"/>
      <c r="C10" s="6"/>
      <c r="D10" s="6"/>
      <c r="E10" s="13"/>
      <c r="F10" s="13"/>
    </row>
    <row r="11" spans="1:6" s="124" customFormat="1" ht="12">
      <c r="A11" s="125"/>
      <c r="B11" s="6"/>
      <c r="C11" s="6"/>
      <c r="D11" s="6"/>
      <c r="E11" s="13"/>
      <c r="F11" s="13"/>
    </row>
    <row r="12" spans="1:19" ht="12">
      <c r="A12" s="230" t="s">
        <v>376</v>
      </c>
      <c r="B12" s="111">
        <f aca="true" t="shared" si="1" ref="B12:F13">B85</f>
        <v>18800000</v>
      </c>
      <c r="C12" s="111">
        <f t="shared" si="1"/>
        <v>19280000</v>
      </c>
      <c r="D12" s="111">
        <f t="shared" si="1"/>
        <v>19030000</v>
      </c>
      <c r="E12" s="111">
        <f t="shared" si="1"/>
        <v>19020000</v>
      </c>
      <c r="F12" s="111">
        <f t="shared" si="1"/>
        <v>19200000</v>
      </c>
      <c r="G12" s="129">
        <f>F12*(1+'Forecasting Assumptions'!G14)</f>
        <v>19417548.609119587</v>
      </c>
      <c r="H12" s="122">
        <f>G12*(1+'Forecasting Assumptions'!H14)</f>
        <v>19673813.47490441</v>
      </c>
      <c r="I12" s="122">
        <f>H12*(1+'Forecasting Assumptions'!I14)</f>
        <v>19970190.137318157</v>
      </c>
      <c r="J12" s="122">
        <f>I12*(1+'Forecasting Assumptions'!J14)</f>
        <v>20308314.60697897</v>
      </c>
      <c r="K12" s="122">
        <f>J12*(1+'Forecasting Assumptions'!K14)</f>
        <v>20690078.307147443</v>
      </c>
      <c r="L12" s="122">
        <f>K12*(1+'Forecasting Assumptions'!L14)</f>
        <v>21117645.569210257</v>
      </c>
      <c r="M12" s="5">
        <f>L12*(1+'Forecasting Assumptions'!M14)</f>
        <v>21593473.906569835</v>
      </c>
      <c r="N12" s="5">
        <f>M12*(1+'Forecasting Assumptions'!N14)</f>
        <v>22120337.330708336</v>
      </c>
      <c r="O12" s="5">
        <f>N12*(1+'Forecasting Assumptions'!O14)</f>
        <v>22701353.016432334</v>
      </c>
      <c r="P12" s="5">
        <f>O12*(1+'Forecasting Assumptions'!P14)</f>
        <v>23340011.671698183</v>
      </c>
      <c r="Q12" s="5">
        <f>P12*(1+'Forecasting Assumptions'!Q14)</f>
        <v>24040212.02184913</v>
      </c>
      <c r="R12" s="5">
        <f>Q12*(1+'Forecasting Assumptions'!R14)</f>
        <v>24761418.382504605</v>
      </c>
      <c r="S12" s="124"/>
    </row>
    <row r="13" spans="1:19" ht="12">
      <c r="A13" s="230" t="s">
        <v>25</v>
      </c>
      <c r="B13" s="111">
        <f t="shared" si="1"/>
        <v>1240000</v>
      </c>
      <c r="C13" s="111">
        <f t="shared" si="1"/>
        <v>13120000</v>
      </c>
      <c r="D13" s="111">
        <f t="shared" si="1"/>
        <v>12980000</v>
      </c>
      <c r="E13" s="111">
        <f t="shared" si="1"/>
        <v>12980000</v>
      </c>
      <c r="F13" s="111">
        <f t="shared" si="1"/>
        <v>13200000</v>
      </c>
      <c r="G13" s="129">
        <f>-G12*'Forecasting Assumptions'!G15</f>
        <v>13349564.668769715</v>
      </c>
      <c r="H13" s="122">
        <f>-H12*'Forecasting Assumptions'!H15</f>
        <v>13525746.763996782</v>
      </c>
      <c r="I13" s="122">
        <f>-I12*'Forecasting Assumptions'!I15</f>
        <v>13729505.719406232</v>
      </c>
      <c r="J13" s="122">
        <f>-J12*'Forecasting Assumptions'!J15</f>
        <v>13961966.292298043</v>
      </c>
      <c r="K13" s="122">
        <f>-K12*'Forecasting Assumptions'!K15</f>
        <v>14224428.836163867</v>
      </c>
      <c r="L13" s="122">
        <f>-L12*'Forecasting Assumptions'!L15</f>
        <v>14518381.328832053</v>
      </c>
      <c r="M13" s="5">
        <f>-M12*'Forecasting Assumptions'!M15</f>
        <v>14845513.310766762</v>
      </c>
      <c r="N13" s="5">
        <f>-N12*'Forecasting Assumptions'!N15</f>
        <v>15207731.91486198</v>
      </c>
      <c r="O13" s="5">
        <f>-O12*'Forecasting Assumptions'!O15</f>
        <v>15607180.19879723</v>
      </c>
      <c r="P13" s="5">
        <f>-P12*'Forecasting Assumptions'!P15</f>
        <v>16046258.0242925</v>
      </c>
      <c r="Q13" s="5">
        <f>-Q12*'Forecasting Assumptions'!Q15</f>
        <v>16527645.765021276</v>
      </c>
      <c r="R13" s="5">
        <f>-R12*'Forecasting Assumptions'!R15</f>
        <v>17023475.137971915</v>
      </c>
      <c r="S13" s="124"/>
    </row>
    <row r="14" spans="1:19" ht="12">
      <c r="A14" s="230" t="s">
        <v>26</v>
      </c>
      <c r="B14" s="43">
        <f>B12+B13</f>
        <v>20040000</v>
      </c>
      <c r="C14" s="43">
        <f>C12+C13</f>
        <v>32400000</v>
      </c>
      <c r="D14" s="43">
        <f>D12+D13</f>
        <v>32010000</v>
      </c>
      <c r="E14" s="43">
        <f>E12+E13</f>
        <v>32000000</v>
      </c>
      <c r="F14" s="43">
        <f>F12+F13</f>
        <v>32400000</v>
      </c>
      <c r="G14" s="5">
        <f aca="true" t="shared" si="2" ref="G14:L14">G12+G13</f>
        <v>32767113.277889304</v>
      </c>
      <c r="H14" s="5">
        <f t="shared" si="2"/>
        <v>33199560.23890119</v>
      </c>
      <c r="I14" s="5">
        <f t="shared" si="2"/>
        <v>33699695.85672439</v>
      </c>
      <c r="J14" s="5">
        <f t="shared" si="2"/>
        <v>34270280.89927702</v>
      </c>
      <c r="K14" s="5">
        <f t="shared" si="2"/>
        <v>34914507.14331131</v>
      </c>
      <c r="L14" s="5">
        <f t="shared" si="2"/>
        <v>35636026.89804231</v>
      </c>
      <c r="M14" s="5">
        <f aca="true" t="shared" si="3" ref="M14:R14">M12+M13</f>
        <v>36438987.217336595</v>
      </c>
      <c r="N14" s="5">
        <f t="shared" si="3"/>
        <v>37328069.24557032</v>
      </c>
      <c r="O14" s="5">
        <f t="shared" si="3"/>
        <v>38308533.21522956</v>
      </c>
      <c r="P14" s="5">
        <f t="shared" si="3"/>
        <v>39386269.69599068</v>
      </c>
      <c r="Q14" s="5">
        <f t="shared" si="3"/>
        <v>40567857.786870405</v>
      </c>
      <c r="R14" s="5">
        <f t="shared" si="3"/>
        <v>41784893.52047652</v>
      </c>
      <c r="S14" s="124"/>
    </row>
    <row r="15" spans="1:19" ht="12">
      <c r="A15" s="230" t="s">
        <v>27</v>
      </c>
      <c r="B15" s="111">
        <f aca="true" t="shared" si="4" ref="B15:F16">B87</f>
        <v>0</v>
      </c>
      <c r="C15" s="111">
        <f t="shared" si="4"/>
        <v>0</v>
      </c>
      <c r="D15" s="111">
        <f t="shared" si="4"/>
        <v>0</v>
      </c>
      <c r="E15" s="111">
        <f t="shared" si="4"/>
        <v>0</v>
      </c>
      <c r="F15" s="111">
        <f t="shared" si="4"/>
        <v>0</v>
      </c>
      <c r="G15" s="128">
        <f>-G12*'Forecasting Assumptions'!G16</f>
        <v>0</v>
      </c>
      <c r="H15" s="123">
        <f>-H12*'Forecasting Assumptions'!H16</f>
        <v>0</v>
      </c>
      <c r="I15" s="123">
        <f>-I12*'Forecasting Assumptions'!I16</f>
        <v>0</v>
      </c>
      <c r="J15" s="123">
        <f>-J12*'Forecasting Assumptions'!J16</f>
        <v>0</v>
      </c>
      <c r="K15" s="123">
        <f>-K12*'Forecasting Assumptions'!K16</f>
        <v>0</v>
      </c>
      <c r="L15" s="123">
        <f>-L12*'Forecasting Assumptions'!L16</f>
        <v>0</v>
      </c>
      <c r="M15" s="28">
        <f>-M12*'Forecasting Assumptions'!M16</f>
        <v>0</v>
      </c>
      <c r="N15" s="28">
        <f>-N12*'Forecasting Assumptions'!N16</f>
        <v>0</v>
      </c>
      <c r="O15" s="28">
        <f>-O12*'Forecasting Assumptions'!O16</f>
        <v>0</v>
      </c>
      <c r="P15" s="28">
        <f>-P12*'Forecasting Assumptions'!P16</f>
        <v>0</v>
      </c>
      <c r="Q15" s="28">
        <f>-Q12*'Forecasting Assumptions'!Q16</f>
        <v>0</v>
      </c>
      <c r="R15" s="28">
        <f>-R12*'Forecasting Assumptions'!R16</f>
        <v>0</v>
      </c>
      <c r="S15" s="124"/>
    </row>
    <row r="16" spans="1:19" ht="12">
      <c r="A16" s="230" t="s">
        <v>28</v>
      </c>
      <c r="B16" s="111">
        <f t="shared" si="4"/>
        <v>4240000</v>
      </c>
      <c r="C16" s="111">
        <f t="shared" si="4"/>
        <v>4270000</v>
      </c>
      <c r="D16" s="111">
        <f t="shared" si="4"/>
        <v>4310000</v>
      </c>
      <c r="E16" s="111">
        <f t="shared" si="4"/>
        <v>4350000</v>
      </c>
      <c r="F16" s="111">
        <f t="shared" si="4"/>
        <v>4450000</v>
      </c>
      <c r="G16" s="128">
        <f>-G12*'Forecasting Assumptions'!G17</f>
        <v>4500421.422426155</v>
      </c>
      <c r="H16" s="123">
        <f>-H12*'Forecasting Assumptions'!H17</f>
        <v>4559816.143923158</v>
      </c>
      <c r="I16" s="123">
        <f>-I12*'Forecasting Assumptions'!I17</f>
        <v>4628507.609951343</v>
      </c>
      <c r="J16" s="123">
        <f>-J12*'Forecasting Assumptions'!J17</f>
        <v>4706875.000055023</v>
      </c>
      <c r="K16" s="123">
        <f>-K12*'Forecasting Assumptions'!K17</f>
        <v>4795356.690979485</v>
      </c>
      <c r="L16" s="123">
        <f>-L12*'Forecasting Assumptions'!L17</f>
        <v>4894454.311613836</v>
      </c>
      <c r="M16" s="28">
        <f>-M12*'Forecasting Assumptions'!M17</f>
        <v>5004737.44188728</v>
      </c>
      <c r="N16" s="28">
        <f>-N12*'Forecasting Assumptions'!N17</f>
        <v>5126849.016752713</v>
      </c>
      <c r="O16" s="28">
        <f>-O12*'Forecasting Assumptions'!O17</f>
        <v>5261511.506412703</v>
      </c>
      <c r="P16" s="28">
        <f>-P12*'Forecasting Assumptions'!P17</f>
        <v>5409533.955159214</v>
      </c>
      <c r="Q16" s="28">
        <f>-Q12*'Forecasting Assumptions'!Q17</f>
        <v>5571819.973813991</v>
      </c>
      <c r="R16" s="28">
        <f>-R12*'Forecasting Assumptions'!R17</f>
        <v>5738974.573028411</v>
      </c>
      <c r="S16" s="124"/>
    </row>
    <row r="17" spans="1:19" ht="12">
      <c r="A17" s="230" t="s">
        <v>29</v>
      </c>
      <c r="B17" s="43">
        <f>B14+B15+B16</f>
        <v>24280000</v>
      </c>
      <c r="C17" s="43">
        <f>C14+C15+C16</f>
        <v>36670000</v>
      </c>
      <c r="D17" s="43">
        <f>D14+D15+D16</f>
        <v>36320000</v>
      </c>
      <c r="E17" s="43">
        <f>E14+E15+E16</f>
        <v>36350000</v>
      </c>
      <c r="F17" s="43">
        <f>F14+F15+F16</f>
        <v>36850000</v>
      </c>
      <c r="G17" s="28">
        <f aca="true" t="shared" si="5" ref="G17:L17">G14+G15+G16</f>
        <v>37267534.70031546</v>
      </c>
      <c r="H17" s="28">
        <f t="shared" si="5"/>
        <v>37759376.38282435</v>
      </c>
      <c r="I17" s="28">
        <f t="shared" si="5"/>
        <v>38328203.46667573</v>
      </c>
      <c r="J17" s="28">
        <f t="shared" si="5"/>
        <v>38977155.89933204</v>
      </c>
      <c r="K17" s="28">
        <f t="shared" si="5"/>
        <v>39709863.834290795</v>
      </c>
      <c r="L17" s="28">
        <f t="shared" si="5"/>
        <v>40530481.20965614</v>
      </c>
      <c r="M17" s="28">
        <f aca="true" t="shared" si="6" ref="M17:R17">M14+M15+M16</f>
        <v>41443724.65922388</v>
      </c>
      <c r="N17" s="28">
        <f t="shared" si="6"/>
        <v>42454918.26232303</v>
      </c>
      <c r="O17" s="28">
        <f t="shared" si="6"/>
        <v>43570044.72164226</v>
      </c>
      <c r="P17" s="28">
        <f t="shared" si="6"/>
        <v>44795803.6511499</v>
      </c>
      <c r="Q17" s="28">
        <f t="shared" si="6"/>
        <v>46139677.76068439</v>
      </c>
      <c r="R17" s="28">
        <f t="shared" si="6"/>
        <v>47523868.09350493</v>
      </c>
      <c r="S17" s="124"/>
    </row>
    <row r="18" spans="1:19" ht="12">
      <c r="A18" s="230" t="s">
        <v>65</v>
      </c>
      <c r="B18" s="111">
        <f>B89</f>
        <v>778000</v>
      </c>
      <c r="C18" s="111">
        <f>C89</f>
        <v>833000</v>
      </c>
      <c r="D18" s="111">
        <f>D89</f>
        <v>889000</v>
      </c>
      <c r="E18" s="111">
        <f>E89</f>
        <v>886000</v>
      </c>
      <c r="F18" s="111">
        <f>F89</f>
        <v>934000</v>
      </c>
      <c r="G18" s="128">
        <f>-((F38+G38+F40+G40)/2)*'Forecasting Assumptions'!G18</f>
        <v>927571.2029350676</v>
      </c>
      <c r="H18" s="123">
        <f>-((G38+H38+G40+H40)/2)*'Forecasting Assumptions'!H18</f>
        <v>938951.928815222</v>
      </c>
      <c r="I18" s="123">
        <f>-((H38+I38+H40+I40)/2)*'Forecasting Assumptions'!I18</f>
        <v>952226.058985721</v>
      </c>
      <c r="J18" s="123">
        <f>-((I38+J38+I40+J40)/2)*'Forecasting Assumptions'!J18</f>
        <v>967466.4095397971</v>
      </c>
      <c r="K18" s="123">
        <f>-((J38+K38+J40+K40)/2)*'Forecasting Assumptions'!K18</f>
        <v>984757.7074009355</v>
      </c>
      <c r="L18" s="123">
        <f>-((K38+L38+K40+L40)/2)*'Forecasting Assumptions'!L18</f>
        <v>1004197.3694521976</v>
      </c>
      <c r="M18" s="28">
        <f>-((L38+M38+L40+M40)/2)*'Forecasting Assumptions'!M18</f>
        <v>1025896.4097347436</v>
      </c>
      <c r="N18" s="28">
        <f>-((M38+N38+M40+N40)/2)*'Forecasting Assumptions'!N18</f>
        <v>1049980.4864533325</v>
      </c>
      <c r="O18" s="28">
        <f>-((N38+O38+N40+O40)/2)*'Forecasting Assumptions'!O18</f>
        <v>1076591.1024984717</v>
      </c>
      <c r="P18" s="28">
        <f>-((O38+P38+O40+P40)/2)*'Forecasting Assumptions'!P18</f>
        <v>1105886.9753958473</v>
      </c>
      <c r="Q18" s="28">
        <f>-((P38+Q38+P40+Q40)/2)*'Forecasting Assumptions'!Q18</f>
        <v>1138045.595063426</v>
      </c>
      <c r="R18" s="28">
        <f>-((Q38+R38+Q40+R40)/2)*'Forecasting Assumptions'!R18</f>
        <v>1172186.9629153288</v>
      </c>
      <c r="S18" s="124"/>
    </row>
    <row r="19" spans="1:19" ht="12">
      <c r="A19" s="230" t="s">
        <v>66</v>
      </c>
      <c r="B19" s="43">
        <f>B17+B18</f>
        <v>25058000</v>
      </c>
      <c r="C19" s="43">
        <f>C17+C18</f>
        <v>37503000</v>
      </c>
      <c r="D19" s="43">
        <f>D17+D18</f>
        <v>37209000</v>
      </c>
      <c r="E19" s="43">
        <f>E17+E18</f>
        <v>37236000</v>
      </c>
      <c r="F19" s="43">
        <f>F17+F18</f>
        <v>37784000</v>
      </c>
      <c r="G19" s="48">
        <f aca="true" t="shared" si="7" ref="G19:L19">G17+G18</f>
        <v>38195105.90325053</v>
      </c>
      <c r="H19" s="48">
        <f t="shared" si="7"/>
        <v>38698328.31163957</v>
      </c>
      <c r="I19" s="48">
        <f t="shared" si="7"/>
        <v>39280429.525661446</v>
      </c>
      <c r="J19" s="48">
        <f t="shared" si="7"/>
        <v>39944622.308871835</v>
      </c>
      <c r="K19" s="48">
        <f t="shared" si="7"/>
        <v>40694621.54169173</v>
      </c>
      <c r="L19" s="48">
        <f t="shared" si="7"/>
        <v>41534678.57910834</v>
      </c>
      <c r="M19" s="48">
        <f aca="true" t="shared" si="8" ref="M19:R19">M17+M18</f>
        <v>42469621.06895862</v>
      </c>
      <c r="N19" s="48">
        <f t="shared" si="8"/>
        <v>43504898.74877636</v>
      </c>
      <c r="O19" s="48">
        <f t="shared" si="8"/>
        <v>44646635.824140735</v>
      </c>
      <c r="P19" s="48">
        <f t="shared" si="8"/>
        <v>45901690.62654575</v>
      </c>
      <c r="Q19" s="48">
        <f t="shared" si="8"/>
        <v>47277723.35574782</v>
      </c>
      <c r="R19" s="48">
        <f t="shared" si="8"/>
        <v>48696055.05642026</v>
      </c>
      <c r="S19" s="124"/>
    </row>
    <row r="20" spans="1:19" ht="12">
      <c r="A20" s="230" t="s">
        <v>260</v>
      </c>
      <c r="B20" s="111">
        <f aca="true" t="shared" si="9" ref="B20:E21">B90</f>
        <v>303000</v>
      </c>
      <c r="C20" s="111">
        <f t="shared" si="9"/>
        <v>329000</v>
      </c>
      <c r="D20" s="111">
        <f t="shared" si="9"/>
        <v>338000</v>
      </c>
      <c r="E20" s="111">
        <f t="shared" si="9"/>
        <v>345000</v>
      </c>
      <c r="F20" s="111">
        <f>F90</f>
        <v>332000</v>
      </c>
      <c r="G20" s="128">
        <f>-((F44+G44+F49+G49)/2)*'Forecasting Assumptions'!G19</f>
        <v>332011.6921094206</v>
      </c>
      <c r="H20" s="123">
        <f>-((G44+H44+G49+H49)/2)*'Forecasting Assumptions'!H19</f>
        <v>336085.2705527221</v>
      </c>
      <c r="I20" s="123">
        <f>-((H44+I44+H49+I49)/2)*'Forecasting Assumptions'!I19</f>
        <v>340836.56770947156</v>
      </c>
      <c r="J20" s="123">
        <f>-((I44+J44+I49+J49)/2)*'Forecasting Assumptions'!J19</f>
        <v>346291.64712524967</v>
      </c>
      <c r="K20" s="123">
        <f>-((J44+K44+J49+K49)/2)*'Forecasting Assumptions'!K19</f>
        <v>352480.8356678422</v>
      </c>
      <c r="L20" s="123">
        <f>-((K44+L44+K49+L49)/2)*'Forecasting Assumptions'!L19</f>
        <v>359439.0024061499</v>
      </c>
      <c r="M20" s="28">
        <f>-((L44+M44+L49+M49)/2)*'Forecasting Assumptions'!M19</f>
        <v>367205.88332975155</v>
      </c>
      <c r="N20" s="28">
        <f>-((M44+N44+M49+N49)/2)*'Forecasting Assumptions'!N19</f>
        <v>375826.4561105038</v>
      </c>
      <c r="O20" s="28">
        <f>-((N44+O44+N49+O49)/2)*'Forecasting Assumptions'!O19</f>
        <v>385351.36981337063</v>
      </c>
      <c r="P20" s="28">
        <f>-((O44+P44+O49+P49)/2)*'Forecasting Assumptions'!P19</f>
        <v>395837.435251477</v>
      </c>
      <c r="Q20" s="28">
        <f>-((P44+Q44+P49+Q49)/2)*'Forecasting Assumptions'!Q19</f>
        <v>407348.182564407</v>
      </c>
      <c r="R20" s="28">
        <f>-((Q44+R44+Q49+R49)/2)*'Forecasting Assumptions'!R19</f>
        <v>419568.6280413392</v>
      </c>
      <c r="S20" s="124"/>
    </row>
    <row r="21" spans="1:19" ht="12">
      <c r="A21" s="230" t="s">
        <v>67</v>
      </c>
      <c r="B21" s="111">
        <f t="shared" si="9"/>
        <v>1860000</v>
      </c>
      <c r="C21" s="111">
        <f t="shared" si="9"/>
        <v>1560000</v>
      </c>
      <c r="D21" s="111">
        <f t="shared" si="9"/>
        <v>140000</v>
      </c>
      <c r="E21" s="111">
        <f t="shared" si="9"/>
        <v>1350000</v>
      </c>
      <c r="F21" s="111">
        <f>F91</f>
        <v>1060000</v>
      </c>
      <c r="G21" s="128">
        <f>G12*'Forecasting Assumptions'!G20</f>
        <v>1072010.4961284772</v>
      </c>
      <c r="H21" s="123">
        <f>H12*'Forecasting Assumptions'!H20</f>
        <v>1086158.4522603475</v>
      </c>
      <c r="I21" s="123">
        <f>I12*'Forecasting Assumptions'!I20</f>
        <v>1102520.9138311066</v>
      </c>
      <c r="J21" s="123">
        <f>J12*'Forecasting Assumptions'!J20</f>
        <v>1121188.2022602973</v>
      </c>
      <c r="K21" s="123">
        <f>K12*'Forecasting Assumptions'!K20</f>
        <v>1142264.739873765</v>
      </c>
      <c r="L21" s="123">
        <f>L12*'Forecasting Assumptions'!L20</f>
        <v>1165870.0158001496</v>
      </c>
      <c r="M21" s="28">
        <f>M12*'Forecasting Assumptions'!M20</f>
        <v>1192139.705258543</v>
      </c>
      <c r="N21" s="28">
        <f>N12*'Forecasting Assumptions'!N20</f>
        <v>1221226.9567995227</v>
      </c>
      <c r="O21" s="28">
        <f>O12*'Forecasting Assumptions'!O20</f>
        <v>1253303.8644488684</v>
      </c>
      <c r="P21" s="28">
        <f>P12*'Forecasting Assumptions'!P20</f>
        <v>1288563.1443750039</v>
      </c>
      <c r="Q21" s="28">
        <f>Q12*'Forecasting Assumptions'!Q20</f>
        <v>1327220.038706254</v>
      </c>
      <c r="R21" s="28">
        <f>R12*'Forecasting Assumptions'!R20</f>
        <v>1367036.6398674417</v>
      </c>
      <c r="S21" s="124"/>
    </row>
    <row r="22" spans="1:19" ht="12">
      <c r="A22" s="230" t="s">
        <v>68</v>
      </c>
      <c r="B22" s="43">
        <f>B19+B20+B21</f>
        <v>27221000</v>
      </c>
      <c r="C22" s="43">
        <f>C19+C20+C21</f>
        <v>39392000</v>
      </c>
      <c r="D22" s="43">
        <f>D19+D20+D21</f>
        <v>37687000</v>
      </c>
      <c r="E22" s="43">
        <f>E19+E20+E21</f>
        <v>38931000</v>
      </c>
      <c r="F22" s="43">
        <f>F19+F20+F21</f>
        <v>39176000</v>
      </c>
      <c r="G22" s="28">
        <f aca="true" t="shared" si="10" ref="G22:L22">G19+G20+G21</f>
        <v>39599128.09148843</v>
      </c>
      <c r="H22" s="28">
        <f t="shared" si="10"/>
        <v>40120572.03445264</v>
      </c>
      <c r="I22" s="28">
        <f t="shared" si="10"/>
        <v>40723787.00720202</v>
      </c>
      <c r="J22" s="28">
        <f t="shared" si="10"/>
        <v>41412102.15825739</v>
      </c>
      <c r="K22" s="28">
        <f t="shared" si="10"/>
        <v>42189367.117233336</v>
      </c>
      <c r="L22" s="28">
        <f t="shared" si="10"/>
        <v>43059987.59731464</v>
      </c>
      <c r="M22" s="28">
        <f aca="true" t="shared" si="11" ref="M22:R22">M19+M20+M21</f>
        <v>44028966.65754691</v>
      </c>
      <c r="N22" s="28">
        <f t="shared" si="11"/>
        <v>45101952.16168639</v>
      </c>
      <c r="O22" s="28">
        <f t="shared" si="11"/>
        <v>46285291.05840297</v>
      </c>
      <c r="P22" s="28">
        <f t="shared" si="11"/>
        <v>47586091.20617223</v>
      </c>
      <c r="Q22" s="28">
        <f t="shared" si="11"/>
        <v>49012291.57701848</v>
      </c>
      <c r="R22" s="28">
        <f t="shared" si="11"/>
        <v>50482660.32432904</v>
      </c>
      <c r="S22" s="124"/>
    </row>
    <row r="23" spans="1:19" ht="12">
      <c r="A23" s="230" t="s">
        <v>137</v>
      </c>
      <c r="B23" s="111">
        <f>B92</f>
        <v>692000</v>
      </c>
      <c r="C23" s="111">
        <f>C92</f>
        <v>575000</v>
      </c>
      <c r="D23" s="111">
        <f>D92</f>
        <v>515000</v>
      </c>
      <c r="E23" s="111">
        <f>E92</f>
        <v>482000</v>
      </c>
      <c r="F23" s="111">
        <f>F92</f>
        <v>384000</v>
      </c>
      <c r="G23" s="128">
        <f>-G22*'Forecasting Assumptions'!G21</f>
        <v>388147.4675089738</v>
      </c>
      <c r="H23" s="123">
        <f>-H22*'Forecasting Assumptions'!H21</f>
        <v>393258.6190838731</v>
      </c>
      <c r="I23" s="123">
        <f>-I22*'Forecasting Assumptions'!I21</f>
        <v>399171.2837136404</v>
      </c>
      <c r="J23" s="123">
        <f>-J22*'Forecasting Assumptions'!J21</f>
        <v>405918.0934442219</v>
      </c>
      <c r="K23" s="123">
        <f>-K22*'Forecasting Assumptions'!K21</f>
        <v>413536.7820353686</v>
      </c>
      <c r="L23" s="123">
        <f>-L22*'Forecasting Assumptions'!L21</f>
        <v>422070.5339332454</v>
      </c>
      <c r="M23" s="28">
        <f>-M22*'Forecasting Assumptions'!M21</f>
        <v>431568.38872008404</v>
      </c>
      <c r="N23" s="28">
        <f>-N22*'Forecasting Assumptions'!N21</f>
        <v>442085.7063020108</v>
      </c>
      <c r="O23" s="28">
        <f>-O22*'Forecasting Assumptions'!O21</f>
        <v>453684.69895922864</v>
      </c>
      <c r="P23" s="28">
        <f>-P22*'Forecasting Assumptions'!P21</f>
        <v>466435.0373486353</v>
      </c>
      <c r="Q23" s="28">
        <f>-Q22*'Forecasting Assumptions'!Q21</f>
        <v>480414.53863526386</v>
      </c>
      <c r="R23" s="28">
        <f>-R22*'Forecasting Assumptions'!R21</f>
        <v>494826.97479432187</v>
      </c>
      <c r="S23" s="124"/>
    </row>
    <row r="24" spans="1:19" ht="12">
      <c r="A24" s="230" t="s">
        <v>356</v>
      </c>
      <c r="B24" s="111">
        <f>B94</f>
        <v>0</v>
      </c>
      <c r="C24" s="111">
        <f>C94</f>
        <v>0</v>
      </c>
      <c r="D24" s="111">
        <f>D94</f>
        <v>0</v>
      </c>
      <c r="E24" s="111">
        <f>E94</f>
        <v>0</v>
      </c>
      <c r="F24" s="111">
        <f>F94</f>
        <v>0</v>
      </c>
      <c r="G24" s="128">
        <f>G12*'Forecasting Assumptions'!G23</f>
        <v>0</v>
      </c>
      <c r="H24" s="123">
        <f>H12*'Forecasting Assumptions'!H23</f>
        <v>0</v>
      </c>
      <c r="I24" s="123">
        <f>I12*'Forecasting Assumptions'!I23</f>
        <v>0</v>
      </c>
      <c r="J24" s="123">
        <f>J12*'Forecasting Assumptions'!J23</f>
        <v>0</v>
      </c>
      <c r="K24" s="123">
        <f>K12*'Forecasting Assumptions'!K23</f>
        <v>0</v>
      </c>
      <c r="L24" s="123">
        <f>L12*'Forecasting Assumptions'!L23</f>
        <v>0</v>
      </c>
      <c r="M24" s="28">
        <f>M12*'Forecasting Assumptions'!M23</f>
        <v>0</v>
      </c>
      <c r="N24" s="28">
        <f>N12*'Forecasting Assumptions'!N23</f>
        <v>0</v>
      </c>
      <c r="O24" s="28">
        <f>O12*'Forecasting Assumptions'!O23</f>
        <v>0</v>
      </c>
      <c r="P24" s="28">
        <f>P12*'Forecasting Assumptions'!P23</f>
        <v>0</v>
      </c>
      <c r="Q24" s="28">
        <f>Q12*'Forecasting Assumptions'!Q23</f>
        <v>0</v>
      </c>
      <c r="R24" s="28">
        <f>R12*'Forecasting Assumptions'!R23</f>
        <v>0</v>
      </c>
      <c r="S24" s="124"/>
    </row>
    <row r="25" spans="1:19" ht="12">
      <c r="A25" s="230" t="s">
        <v>332</v>
      </c>
      <c r="B25" s="43">
        <f aca="true" t="shared" si="12" ref="B25:G25">B22+B23+B24</f>
        <v>27913000</v>
      </c>
      <c r="C25" s="43">
        <f t="shared" si="12"/>
        <v>39967000</v>
      </c>
      <c r="D25" s="43">
        <f t="shared" si="12"/>
        <v>38202000</v>
      </c>
      <c r="E25" s="43">
        <f t="shared" si="12"/>
        <v>39413000</v>
      </c>
      <c r="F25" s="43">
        <f t="shared" si="12"/>
        <v>39560000</v>
      </c>
      <c r="G25" s="28">
        <f t="shared" si="12"/>
        <v>39987275.5589974</v>
      </c>
      <c r="H25" s="28">
        <f aca="true" t="shared" si="13" ref="H25:R25">H22+H23+H24</f>
        <v>40513830.65353651</v>
      </c>
      <c r="I25" s="28">
        <f t="shared" si="13"/>
        <v>41122958.29091566</v>
      </c>
      <c r="J25" s="28">
        <f t="shared" si="13"/>
        <v>41818020.25170161</v>
      </c>
      <c r="K25" s="28">
        <f t="shared" si="13"/>
        <v>42602903.8992687</v>
      </c>
      <c r="L25" s="28">
        <f t="shared" si="13"/>
        <v>43482058.131247886</v>
      </c>
      <c r="M25" s="28">
        <f t="shared" si="13"/>
        <v>44460535.046266995</v>
      </c>
      <c r="N25" s="28">
        <f t="shared" si="13"/>
        <v>45544037.8679884</v>
      </c>
      <c r="O25" s="28">
        <f t="shared" si="13"/>
        <v>46738975.7573622</v>
      </c>
      <c r="P25" s="28">
        <f t="shared" si="13"/>
        <v>48052526.24352086</v>
      </c>
      <c r="Q25" s="28">
        <f t="shared" si="13"/>
        <v>49492706.11565374</v>
      </c>
      <c r="R25" s="28">
        <f t="shared" si="13"/>
        <v>50977487.29912336</v>
      </c>
      <c r="S25" s="124"/>
    </row>
    <row r="26" spans="1:19" ht="12">
      <c r="A26" s="230" t="s">
        <v>378</v>
      </c>
      <c r="B26" s="111">
        <f>B95</f>
        <v>0</v>
      </c>
      <c r="C26" s="111">
        <f>C95</f>
        <v>0</v>
      </c>
      <c r="D26" s="111">
        <f>D95</f>
        <v>0</v>
      </c>
      <c r="E26" s="111">
        <f>E95</f>
        <v>0</v>
      </c>
      <c r="F26" s="111">
        <f>F95</f>
        <v>0</v>
      </c>
      <c r="G26" s="128">
        <f>G12*'Forecasting Assumptions'!G24</f>
        <v>0</v>
      </c>
      <c r="H26" s="123">
        <f>H12*'Forecasting Assumptions'!H24</f>
        <v>0</v>
      </c>
      <c r="I26" s="123">
        <f>I12*'Forecasting Assumptions'!I24</f>
        <v>0</v>
      </c>
      <c r="J26" s="123">
        <f>J12*'Forecasting Assumptions'!J24</f>
        <v>0</v>
      </c>
      <c r="K26" s="123">
        <f>K12*'Forecasting Assumptions'!K24</f>
        <v>0</v>
      </c>
      <c r="L26" s="123">
        <f>L12*'Forecasting Assumptions'!L24</f>
        <v>0</v>
      </c>
      <c r="M26" s="28">
        <f>M12*'Forecasting Assumptions'!M24</f>
        <v>0</v>
      </c>
      <c r="N26" s="28">
        <f>N12*'Forecasting Assumptions'!N24</f>
        <v>0</v>
      </c>
      <c r="O26" s="28">
        <f>O12*'Forecasting Assumptions'!O24</f>
        <v>0</v>
      </c>
      <c r="P26" s="28">
        <f>P12*'Forecasting Assumptions'!P24</f>
        <v>0</v>
      </c>
      <c r="Q26" s="28">
        <f>Q12*'Forecasting Assumptions'!Q24</f>
        <v>0</v>
      </c>
      <c r="R26" s="28">
        <f>R12*'Forecasting Assumptions'!R24</f>
        <v>0</v>
      </c>
      <c r="S26" s="124"/>
    </row>
    <row r="27" spans="1:19" ht="12">
      <c r="A27" s="230" t="s">
        <v>138</v>
      </c>
      <c r="B27" s="111">
        <f>B93</f>
        <v>0</v>
      </c>
      <c r="C27" s="111">
        <f>C93</f>
        <v>0</v>
      </c>
      <c r="D27" s="111">
        <f>D93</f>
        <v>0</v>
      </c>
      <c r="E27" s="111">
        <f>E93</f>
        <v>0</v>
      </c>
      <c r="F27" s="111">
        <f>F93</f>
        <v>0</v>
      </c>
      <c r="G27" s="128">
        <f>-(G22+G23)*'Forecasting Assumptions'!G22</f>
        <v>0</v>
      </c>
      <c r="H27" s="123">
        <f>-(H22+H23)*'Forecasting Assumptions'!H22</f>
        <v>0</v>
      </c>
      <c r="I27" s="123">
        <f>-(I22+I23)*'Forecasting Assumptions'!I22</f>
        <v>0</v>
      </c>
      <c r="J27" s="123">
        <f>-(J22+J23)*'Forecasting Assumptions'!J22</f>
        <v>0</v>
      </c>
      <c r="K27" s="123">
        <f>-(K22+K23)*'Forecasting Assumptions'!K22</f>
        <v>0</v>
      </c>
      <c r="L27" s="123">
        <f>-(L22+L23)*'Forecasting Assumptions'!L22</f>
        <v>0</v>
      </c>
      <c r="M27" s="28">
        <f>-(M22+M23)*'Forecasting Assumptions'!M22</f>
        <v>0</v>
      </c>
      <c r="N27" s="28">
        <f>-(N22+N23)*'Forecasting Assumptions'!N22</f>
        <v>0</v>
      </c>
      <c r="O27" s="28">
        <f>-(O22+O23)*'Forecasting Assumptions'!O22</f>
        <v>0</v>
      </c>
      <c r="P27" s="28">
        <f>-(P22+P23)*'Forecasting Assumptions'!P22</f>
        <v>0</v>
      </c>
      <c r="Q27" s="28">
        <f>-(Q22+Q23)*'Forecasting Assumptions'!Q22</f>
        <v>0</v>
      </c>
      <c r="R27" s="28">
        <f>-(R22+R23)*'Forecasting Assumptions'!R22</f>
        <v>0</v>
      </c>
      <c r="S27" s="124"/>
    </row>
    <row r="28" spans="1:19" ht="12">
      <c r="A28" s="230" t="s">
        <v>419</v>
      </c>
      <c r="B28" s="111">
        <f>B96</f>
        <v>0</v>
      </c>
      <c r="C28" s="111">
        <f>C96</f>
        <v>0</v>
      </c>
      <c r="D28" s="111">
        <f>D96</f>
        <v>0</v>
      </c>
      <c r="E28" s="111">
        <f>E96</f>
        <v>0</v>
      </c>
      <c r="F28" s="111">
        <f>F96</f>
        <v>0</v>
      </c>
      <c r="G28" s="127">
        <f>-((G54+F54)/2)*'Forecasting Assumptions'!G25</f>
        <v>0</v>
      </c>
      <c r="H28" s="130">
        <f>-((H54+G54)/2)*'Forecasting Assumptions'!H25</f>
        <v>0</v>
      </c>
      <c r="I28" s="130">
        <f>-((I54+H54)/2)*'Forecasting Assumptions'!I25</f>
        <v>0</v>
      </c>
      <c r="J28" s="130">
        <f>-((J54+I54)/2)*'Forecasting Assumptions'!J25</f>
        <v>0</v>
      </c>
      <c r="K28" s="130">
        <f>-((K54+J54)/2)*'Forecasting Assumptions'!K25</f>
        <v>0</v>
      </c>
      <c r="L28" s="130">
        <f>-((L54+K54)/2)*'Forecasting Assumptions'!L25</f>
        <v>0</v>
      </c>
      <c r="M28" s="28">
        <f>-((M54+L54)/2)*'Forecasting Assumptions'!M25</f>
        <v>0</v>
      </c>
      <c r="N28" s="28">
        <f>-((N54+M54)/2)*'Forecasting Assumptions'!N25</f>
        <v>0</v>
      </c>
      <c r="O28" s="28">
        <f>-((O54+N54)/2)*'Forecasting Assumptions'!O25</f>
        <v>0</v>
      </c>
      <c r="P28" s="28">
        <f>-((P54+O54)/2)*'Forecasting Assumptions'!P25</f>
        <v>0</v>
      </c>
      <c r="Q28" s="28">
        <f>-((Q54+P54)/2)*'Forecasting Assumptions'!Q25</f>
        <v>0</v>
      </c>
      <c r="R28" s="28">
        <f>-((R54+Q54)/2)*'Forecasting Assumptions'!R25</f>
        <v>0</v>
      </c>
      <c r="S28" s="124"/>
    </row>
    <row r="29" spans="1:19" ht="12.75" thickBot="1">
      <c r="A29" s="230" t="s">
        <v>244</v>
      </c>
      <c r="B29" s="55">
        <f aca="true" t="shared" si="14" ref="B29:G29">B25+B26+B27+B28</f>
        <v>27913000</v>
      </c>
      <c r="C29" s="55">
        <f t="shared" si="14"/>
        <v>39967000</v>
      </c>
      <c r="D29" s="55">
        <f t="shared" si="14"/>
        <v>38202000</v>
      </c>
      <c r="E29" s="55">
        <f t="shared" si="14"/>
        <v>39413000</v>
      </c>
      <c r="F29" s="55">
        <f t="shared" si="14"/>
        <v>39560000</v>
      </c>
      <c r="G29" s="30">
        <f t="shared" si="14"/>
        <v>39987275.5589974</v>
      </c>
      <c r="H29" s="30">
        <f aca="true" t="shared" si="15" ref="H29:R29">H25+H26+H27+H28</f>
        <v>40513830.65353651</v>
      </c>
      <c r="I29" s="30">
        <f t="shared" si="15"/>
        <v>41122958.29091566</v>
      </c>
      <c r="J29" s="30">
        <f t="shared" si="15"/>
        <v>41818020.25170161</v>
      </c>
      <c r="K29" s="30">
        <f t="shared" si="15"/>
        <v>42602903.8992687</v>
      </c>
      <c r="L29" s="30">
        <f t="shared" si="15"/>
        <v>43482058.131247886</v>
      </c>
      <c r="M29" s="30">
        <f t="shared" si="15"/>
        <v>44460535.046266995</v>
      </c>
      <c r="N29" s="30">
        <f t="shared" si="15"/>
        <v>45544037.8679884</v>
      </c>
      <c r="O29" s="30">
        <f t="shared" si="15"/>
        <v>46738975.7573622</v>
      </c>
      <c r="P29" s="30">
        <f t="shared" si="15"/>
        <v>48052526.24352086</v>
      </c>
      <c r="Q29" s="30">
        <f t="shared" si="15"/>
        <v>49492706.11565374</v>
      </c>
      <c r="R29" s="30">
        <f t="shared" si="15"/>
        <v>50977487.29912336</v>
      </c>
      <c r="S29" s="124"/>
    </row>
    <row r="30" spans="1:19" ht="12.75" thickTop="1">
      <c r="A30" s="77"/>
      <c r="B30" s="80"/>
      <c r="C30" s="80" t="s">
        <v>305</v>
      </c>
      <c r="D30" s="80" t="s">
        <v>305</v>
      </c>
      <c r="E30" s="80" t="s">
        <v>305</v>
      </c>
      <c r="F30" s="80" t="s">
        <v>305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S30" s="124"/>
    </row>
    <row r="31" spans="1:19" ht="12">
      <c r="A31" s="6" t="s">
        <v>153</v>
      </c>
      <c r="B31" s="46"/>
      <c r="C31" s="46"/>
      <c r="D31" s="46"/>
      <c r="E31" s="43"/>
      <c r="F31" s="43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S31" s="124"/>
    </row>
    <row r="32" spans="1:19" ht="12">
      <c r="A32" s="6"/>
      <c r="B32" s="46"/>
      <c r="C32" s="46"/>
      <c r="D32" s="46"/>
      <c r="E32" s="43"/>
      <c r="F32" s="43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S32" s="124"/>
    </row>
    <row r="33" spans="1:19" ht="12">
      <c r="A33" s="230" t="s">
        <v>245</v>
      </c>
      <c r="B33" s="111">
        <f aca="true" t="shared" si="16" ref="B33:F36">B97</f>
        <v>1210000</v>
      </c>
      <c r="C33" s="111">
        <f t="shared" si="16"/>
        <v>537000</v>
      </c>
      <c r="D33" s="111">
        <f t="shared" si="16"/>
        <v>971000</v>
      </c>
      <c r="E33" s="111">
        <f t="shared" si="16"/>
        <v>1410000</v>
      </c>
      <c r="F33" s="111">
        <f>F97</f>
        <v>707000</v>
      </c>
      <c r="G33" s="129">
        <f>G12*'Forecasting Assumptions'!G29</f>
        <v>715010.7743045597</v>
      </c>
      <c r="H33" s="122">
        <f>H12*'Forecasting Assumptions'!H29</f>
        <v>724447.1941019488</v>
      </c>
      <c r="I33" s="122">
        <f>I12*'Forecasting Assumptions'!I29</f>
        <v>735360.6472439549</v>
      </c>
      <c r="J33" s="122">
        <f>J12*'Forecasting Assumptions'!J29</f>
        <v>747811.376413236</v>
      </c>
      <c r="K33" s="122">
        <f>K12*'Forecasting Assumptions'!K29</f>
        <v>761869.029330898</v>
      </c>
      <c r="L33" s="122">
        <f>L12*'Forecasting Assumptions'!L29</f>
        <v>777613.3029912318</v>
      </c>
      <c r="M33" s="5">
        <f>M12*'Forecasting Assumptions'!M29</f>
        <v>795134.690205462</v>
      </c>
      <c r="N33" s="5">
        <f>N12*'Forecasting Assumptions'!N29</f>
        <v>814535.3381672287</v>
      </c>
      <c r="O33" s="5">
        <f>O12*'Forecasting Assumptions'!O29</f>
        <v>835930.0303446697</v>
      </c>
      <c r="P33" s="5">
        <f>P12*'Forecasting Assumptions'!P29</f>
        <v>859447.3047859694</v>
      </c>
      <c r="Q33" s="5">
        <f>Q12*'Forecasting Assumptions'!Q29</f>
        <v>885230.7239295486</v>
      </c>
      <c r="R33" s="5">
        <f>R12*'Forecasting Assumptions'!R29</f>
        <v>911787.6456474351</v>
      </c>
      <c r="S33" s="124"/>
    </row>
    <row r="34" spans="1:19" ht="12">
      <c r="A34" s="230" t="s">
        <v>246</v>
      </c>
      <c r="B34" s="111">
        <f t="shared" si="16"/>
        <v>0</v>
      </c>
      <c r="C34" s="111">
        <f t="shared" si="16"/>
        <v>0</v>
      </c>
      <c r="D34" s="111">
        <f t="shared" si="16"/>
        <v>0</v>
      </c>
      <c r="E34" s="111">
        <f t="shared" si="16"/>
        <v>25000</v>
      </c>
      <c r="F34" s="111">
        <f t="shared" si="16"/>
        <v>26000</v>
      </c>
      <c r="G34" s="129">
        <f>G12*'Forecasting Assumptions'!G30</f>
        <v>26294.59707484944</v>
      </c>
      <c r="H34" s="122">
        <f>H12*'Forecasting Assumptions'!H30</f>
        <v>26641.622413933055</v>
      </c>
      <c r="I34" s="122">
        <f>I12*'Forecasting Assumptions'!I30</f>
        <v>27042.96581095167</v>
      </c>
      <c r="J34" s="122">
        <f>J12*'Forecasting Assumptions'!J30</f>
        <v>27500.84269695069</v>
      </c>
      <c r="K34" s="122">
        <f>K12*'Forecasting Assumptions'!K30</f>
        <v>28017.814374262165</v>
      </c>
      <c r="L34" s="122">
        <f>L12*'Forecasting Assumptions'!L30</f>
        <v>28596.81170830556</v>
      </c>
      <c r="M34" s="5">
        <f>M12*'Forecasting Assumptions'!M30</f>
        <v>29241.162581813318</v>
      </c>
      <c r="N34" s="5">
        <f>N12*'Forecasting Assumptions'!N30</f>
        <v>29954.623468667538</v>
      </c>
      <c r="O34" s="5">
        <f>O12*'Forecasting Assumptions'!O30</f>
        <v>30741.41554308545</v>
      </c>
      <c r="P34" s="5">
        <f>P12*'Forecasting Assumptions'!P30</f>
        <v>31606.265805424624</v>
      </c>
      <c r="Q34" s="5">
        <f>Q12*'Forecasting Assumptions'!Q30</f>
        <v>32554.453779587362</v>
      </c>
      <c r="R34" s="5">
        <f>R12*'Forecasting Assumptions'!R30</f>
        <v>33531.08739297499</v>
      </c>
      <c r="S34" s="124"/>
    </row>
    <row r="35" spans="1:19" ht="12">
      <c r="A35" s="230" t="s">
        <v>247</v>
      </c>
      <c r="B35" s="111">
        <f t="shared" si="16"/>
        <v>320000</v>
      </c>
      <c r="C35" s="111">
        <f t="shared" si="16"/>
        <v>3750000</v>
      </c>
      <c r="D35" s="111">
        <f t="shared" si="16"/>
        <v>3870000</v>
      </c>
      <c r="E35" s="111">
        <f t="shared" si="16"/>
        <v>3810000</v>
      </c>
      <c r="F35" s="111">
        <f t="shared" si="16"/>
        <v>4040000</v>
      </c>
      <c r="G35" s="129">
        <f>-G13*'Forecasting Assumptions'!G31</f>
        <v>4085775.8531689127</v>
      </c>
      <c r="H35" s="122">
        <f>-H13*'Forecasting Assumptions'!H31</f>
        <v>4139698.2520111357</v>
      </c>
      <c r="I35" s="122">
        <f>-I13*'Forecasting Assumptions'!I31</f>
        <v>4202060.841394029</v>
      </c>
      <c r="J35" s="122">
        <f>-J13*'Forecasting Assumptions'!J31</f>
        <v>4273207.865218491</v>
      </c>
      <c r="K35" s="122">
        <f>-K13*'Forecasting Assumptions'!K31</f>
        <v>4353537.310462275</v>
      </c>
      <c r="L35" s="122">
        <f>-L13*'Forecasting Assumptions'!L31</f>
        <v>4443504.588521325</v>
      </c>
      <c r="M35" s="5">
        <f>-M13*'Forecasting Assumptions'!M31</f>
        <v>4543626.801174069</v>
      </c>
      <c r="N35" s="5">
        <f>-N13*'Forecasting Assumptions'!N31</f>
        <v>4654487.646669879</v>
      </c>
      <c r="O35" s="5">
        <f>-O13*'Forecasting Assumptions'!O31</f>
        <v>4776743.03054097</v>
      </c>
      <c r="P35" s="5">
        <f>-P13*'Forecasting Assumptions'!P31</f>
        <v>4911127.4559198255</v>
      </c>
      <c r="Q35" s="5">
        <f>-Q13*'Forecasting Assumptions'!Q31</f>
        <v>5058461.27959742</v>
      </c>
      <c r="R35" s="5">
        <f>-R13*'Forecasting Assumptions'!R31</f>
        <v>5210215.117985344</v>
      </c>
      <c r="S35" s="124"/>
    </row>
    <row r="36" spans="1:19" ht="12">
      <c r="A36" s="230" t="s">
        <v>325</v>
      </c>
      <c r="B36" s="111">
        <f t="shared" si="16"/>
        <v>371000</v>
      </c>
      <c r="C36" s="111">
        <f t="shared" si="16"/>
        <v>434000</v>
      </c>
      <c r="D36" s="111">
        <f t="shared" si="16"/>
        <v>447000</v>
      </c>
      <c r="E36" s="111">
        <f t="shared" si="16"/>
        <v>452000</v>
      </c>
      <c r="F36" s="111">
        <f t="shared" si="16"/>
        <v>305000</v>
      </c>
      <c r="G36" s="129">
        <f>G12*'Forecasting Assumptions'!G32</f>
        <v>308455.8503011184</v>
      </c>
      <c r="H36" s="122">
        <f>H12*'Forecasting Assumptions'!H32</f>
        <v>312526.72447113774</v>
      </c>
      <c r="I36" s="122">
        <f>I12*'Forecasting Assumptions'!I32</f>
        <v>317234.79124385613</v>
      </c>
      <c r="J36" s="122">
        <f>J12*'Forecasting Assumptions'!J32</f>
        <v>322606.03932961385</v>
      </c>
      <c r="K36" s="122">
        <f>K12*'Forecasting Assumptions'!K32</f>
        <v>328670.5147749984</v>
      </c>
      <c r="L36" s="122">
        <f>L12*'Forecasting Assumptions'!L32</f>
        <v>335462.5988858921</v>
      </c>
      <c r="M36" s="5">
        <f>M12*'Forecasting Assumptions'!M32</f>
        <v>343021.3302866562</v>
      </c>
      <c r="N36" s="5">
        <f>N12*'Forecasting Assumptions'!N32</f>
        <v>351390.775305523</v>
      </c>
      <c r="O36" s="5">
        <f>O12*'Forecasting Assumptions'!O32</f>
        <v>360620.4515631178</v>
      </c>
      <c r="P36" s="5">
        <f>P12*'Forecasting Assumptions'!P32</f>
        <v>370765.8104097888</v>
      </c>
      <c r="Q36" s="5">
        <f>Q12*'Forecasting Assumptions'!Q32</f>
        <v>381888.7847220825</v>
      </c>
      <c r="R36" s="5">
        <f>R12*'Forecasting Assumptions'!R32</f>
        <v>393345.448263745</v>
      </c>
      <c r="S36" s="124"/>
    </row>
    <row r="37" spans="1:19" ht="12">
      <c r="A37" s="230" t="s">
        <v>0</v>
      </c>
      <c r="B37" s="43">
        <f aca="true" t="shared" si="17" ref="B37:R37">SUM(B33:B36)</f>
        <v>1901000</v>
      </c>
      <c r="C37" s="43">
        <f t="shared" si="17"/>
        <v>4721000</v>
      </c>
      <c r="D37" s="43">
        <f t="shared" si="17"/>
        <v>5288000</v>
      </c>
      <c r="E37" s="43">
        <f t="shared" si="17"/>
        <v>5697000</v>
      </c>
      <c r="F37" s="43">
        <f t="shared" si="17"/>
        <v>5078000</v>
      </c>
      <c r="G37" s="5">
        <f t="shared" si="17"/>
        <v>5135537.074849441</v>
      </c>
      <c r="H37" s="5">
        <f t="shared" si="17"/>
        <v>5203313.792998156</v>
      </c>
      <c r="I37" s="5">
        <f t="shared" si="17"/>
        <v>5281699.245692791</v>
      </c>
      <c r="J37" s="5">
        <f t="shared" si="17"/>
        <v>5371126.123658291</v>
      </c>
      <c r="K37" s="5">
        <f t="shared" si="17"/>
        <v>5472094.668942433</v>
      </c>
      <c r="L37" s="5">
        <f t="shared" si="17"/>
        <v>5585177.302106755</v>
      </c>
      <c r="M37" s="5">
        <f t="shared" si="17"/>
        <v>5711023.984248</v>
      </c>
      <c r="N37" s="5">
        <f t="shared" si="17"/>
        <v>5850368.383611297</v>
      </c>
      <c r="O37" s="5">
        <f t="shared" si="17"/>
        <v>6004034.927991843</v>
      </c>
      <c r="P37" s="5">
        <f t="shared" si="17"/>
        <v>6172946.836921008</v>
      </c>
      <c r="Q37" s="5">
        <f t="shared" si="17"/>
        <v>6358135.242028639</v>
      </c>
      <c r="R37" s="5">
        <f t="shared" si="17"/>
        <v>6548879.2992894985</v>
      </c>
      <c r="S37" s="124"/>
    </row>
    <row r="38" spans="1:19" ht="12">
      <c r="A38" s="230" t="s">
        <v>214</v>
      </c>
      <c r="B38" s="111">
        <f aca="true" t="shared" si="18" ref="B38:F41">B101</f>
        <v>8910000</v>
      </c>
      <c r="C38" s="111">
        <f t="shared" si="18"/>
        <v>8870000</v>
      </c>
      <c r="D38" s="111">
        <f t="shared" si="18"/>
        <v>8750000</v>
      </c>
      <c r="E38" s="111">
        <f t="shared" si="18"/>
        <v>8520000</v>
      </c>
      <c r="F38" s="111">
        <f t="shared" si="18"/>
        <v>8310000</v>
      </c>
      <c r="G38" s="129">
        <f>G12*'Forecasting Assumptions'!G37</f>
        <v>8404157.75738457</v>
      </c>
      <c r="H38" s="122">
        <f>H12*'Forecasting Assumptions'!H37</f>
        <v>8515072.394607065</v>
      </c>
      <c r="I38" s="122">
        <f>I12*'Forecasting Assumptions'!I37</f>
        <v>8643347.918808015</v>
      </c>
      <c r="J38" s="122">
        <f>J12*'Forecasting Assumptions'!J37</f>
        <v>8789692.415833086</v>
      </c>
      <c r="K38" s="122">
        <f>K12*'Forecasting Assumptions'!K37</f>
        <v>8954924.517312253</v>
      </c>
      <c r="L38" s="122">
        <f>L12*'Forecasting Assumptions'!L37</f>
        <v>9139980.972923813</v>
      </c>
      <c r="M38" s="5">
        <f>M12*'Forecasting Assumptions'!M37</f>
        <v>9345925.425187256</v>
      </c>
      <c r="N38" s="5">
        <f>N12*'Forecasting Assumptions'!N37</f>
        <v>9573958.500947202</v>
      </c>
      <c r="O38" s="5">
        <f>O12*'Forecasting Assumptions'!O37</f>
        <v>9825429.35242462</v>
      </c>
      <c r="P38" s="5">
        <f>P12*'Forecasting Assumptions'!P37</f>
        <v>10101848.80165687</v>
      </c>
      <c r="Q38" s="5">
        <f>Q12*'Forecasting Assumptions'!Q37</f>
        <v>10404904.265706576</v>
      </c>
      <c r="R38" s="5">
        <f>R12*'Forecasting Assumptions'!R37</f>
        <v>10717051.393677775</v>
      </c>
      <c r="S38" s="124"/>
    </row>
    <row r="39" spans="1:19" ht="12">
      <c r="A39" s="230" t="s">
        <v>300</v>
      </c>
      <c r="B39" s="111">
        <f t="shared" si="18"/>
        <v>153000</v>
      </c>
      <c r="C39" s="111">
        <f t="shared" si="18"/>
        <v>53000</v>
      </c>
      <c r="D39" s="111">
        <f t="shared" si="18"/>
        <v>64000</v>
      </c>
      <c r="E39" s="111">
        <f t="shared" si="18"/>
        <v>0</v>
      </c>
      <c r="F39" s="111">
        <f t="shared" si="18"/>
        <v>0</v>
      </c>
      <c r="G39" s="129">
        <f>G12*'Forecasting Assumptions'!G38</f>
        <v>0</v>
      </c>
      <c r="H39" s="122">
        <f>H12*'Forecasting Assumptions'!H38</f>
        <v>0</v>
      </c>
      <c r="I39" s="122">
        <f>I12*'Forecasting Assumptions'!I38</f>
        <v>0</v>
      </c>
      <c r="J39" s="122">
        <f>J12*'Forecasting Assumptions'!J38</f>
        <v>0</v>
      </c>
      <c r="K39" s="122">
        <f>K12*'Forecasting Assumptions'!K38</f>
        <v>0</v>
      </c>
      <c r="L39" s="122">
        <f>L12*'Forecasting Assumptions'!L38</f>
        <v>0</v>
      </c>
      <c r="M39" s="5">
        <f>M12*'Forecasting Assumptions'!M38</f>
        <v>0</v>
      </c>
      <c r="N39" s="5">
        <f>N12*'Forecasting Assumptions'!N38</f>
        <v>0</v>
      </c>
      <c r="O39" s="5">
        <f>O12*'Forecasting Assumptions'!O38</f>
        <v>0</v>
      </c>
      <c r="P39" s="5">
        <f>P12*'Forecasting Assumptions'!P38</f>
        <v>0</v>
      </c>
      <c r="Q39" s="5">
        <f>Q12*'Forecasting Assumptions'!Q38</f>
        <v>0</v>
      </c>
      <c r="R39" s="5">
        <f>R12*'Forecasting Assumptions'!R38</f>
        <v>0</v>
      </c>
      <c r="S39" s="124"/>
    </row>
    <row r="40" spans="1:19" ht="12">
      <c r="A40" s="230" t="s">
        <v>301</v>
      </c>
      <c r="B40" s="111">
        <f t="shared" si="18"/>
        <v>0</v>
      </c>
      <c r="C40" s="111">
        <f t="shared" si="18"/>
        <v>0</v>
      </c>
      <c r="D40" s="111">
        <f t="shared" si="18"/>
        <v>0</v>
      </c>
      <c r="E40" s="111">
        <f t="shared" si="18"/>
        <v>0</v>
      </c>
      <c r="F40" s="111">
        <f t="shared" si="18"/>
        <v>0</v>
      </c>
      <c r="G40" s="129">
        <f>G12*'Forecasting Assumptions'!G39</f>
        <v>0</v>
      </c>
      <c r="H40" s="122">
        <f>H12*'Forecasting Assumptions'!H39</f>
        <v>0</v>
      </c>
      <c r="I40" s="122">
        <f>I12*'Forecasting Assumptions'!I39</f>
        <v>0</v>
      </c>
      <c r="J40" s="122">
        <f>J12*'Forecasting Assumptions'!J39</f>
        <v>0</v>
      </c>
      <c r="K40" s="122">
        <f>K12*'Forecasting Assumptions'!K39</f>
        <v>0</v>
      </c>
      <c r="L40" s="122">
        <f>L12*'Forecasting Assumptions'!L39</f>
        <v>0</v>
      </c>
      <c r="M40" s="5">
        <f>M12*'Forecasting Assumptions'!M39</f>
        <v>0</v>
      </c>
      <c r="N40" s="5">
        <f>N12*'Forecasting Assumptions'!N39</f>
        <v>0</v>
      </c>
      <c r="O40" s="5">
        <f>O12*'Forecasting Assumptions'!O39</f>
        <v>0</v>
      </c>
      <c r="P40" s="5">
        <f>P12*'Forecasting Assumptions'!P39</f>
        <v>0</v>
      </c>
      <c r="Q40" s="5">
        <f>Q12*'Forecasting Assumptions'!Q39</f>
        <v>0</v>
      </c>
      <c r="R40" s="5">
        <f>R12*'Forecasting Assumptions'!R39</f>
        <v>0</v>
      </c>
      <c r="S40" s="124"/>
    </row>
    <row r="41" spans="1:19" ht="12">
      <c r="A41" s="230" t="s">
        <v>109</v>
      </c>
      <c r="B41" s="111">
        <f t="shared" si="18"/>
        <v>261000</v>
      </c>
      <c r="C41" s="111">
        <f t="shared" si="18"/>
        <v>261000</v>
      </c>
      <c r="D41" s="111">
        <f t="shared" si="18"/>
        <v>277000</v>
      </c>
      <c r="E41" s="111">
        <f t="shared" si="18"/>
        <v>218000</v>
      </c>
      <c r="F41" s="111">
        <f t="shared" si="18"/>
        <v>222000</v>
      </c>
      <c r="G41" s="126">
        <f>G12*'Forecasting Assumptions'!G40</f>
        <v>224515.4057929452</v>
      </c>
      <c r="H41" s="131">
        <f>H12*'Forecasting Assumptions'!H40</f>
        <v>227478.46830358225</v>
      </c>
      <c r="I41" s="131">
        <f>I12*'Forecasting Assumptions'!I40</f>
        <v>230905.3234627412</v>
      </c>
      <c r="J41" s="131">
        <f>J12*'Forecasting Assumptions'!J40</f>
        <v>234814.88764319435</v>
      </c>
      <c r="K41" s="131">
        <f>K12*'Forecasting Assumptions'!K40</f>
        <v>239229.0304263923</v>
      </c>
      <c r="L41" s="131">
        <f>L12*'Forecasting Assumptions'!L40</f>
        <v>244172.7768939936</v>
      </c>
      <c r="M41" s="5">
        <f>M12*'Forecasting Assumptions'!M40</f>
        <v>249674.54204471371</v>
      </c>
      <c r="N41" s="5">
        <f>N12*'Forecasting Assumptions'!N40</f>
        <v>255766.40038631513</v>
      </c>
      <c r="O41" s="5">
        <f>O12*'Forecasting Assumptions'!O40</f>
        <v>262484.39425249887</v>
      </c>
      <c r="P41" s="5">
        <f>P12*'Forecasting Assumptions'!P40</f>
        <v>269868.88495401025</v>
      </c>
      <c r="Q41" s="5">
        <f>Q12*'Forecasting Assumptions'!Q40</f>
        <v>277964.95150263055</v>
      </c>
      <c r="R41" s="5">
        <f>R12*'Forecasting Assumptions'!R40</f>
        <v>286303.90004770947</v>
      </c>
      <c r="S41" s="124"/>
    </row>
    <row r="42" spans="1:19" ht="12.75" thickBot="1">
      <c r="A42" s="230" t="s">
        <v>110</v>
      </c>
      <c r="B42" s="55">
        <f>SUM(B37:B41)</f>
        <v>11225000</v>
      </c>
      <c r="C42" s="55">
        <f>SUM(C37:C41)</f>
        <v>13905000</v>
      </c>
      <c r="D42" s="55">
        <f>SUM(D37:D41)</f>
        <v>14379000</v>
      </c>
      <c r="E42" s="55">
        <f>SUM(E37:E41)</f>
        <v>14435000</v>
      </c>
      <c r="F42" s="55">
        <f>SUM(F37:F41)</f>
        <v>13610000</v>
      </c>
      <c r="G42" s="56">
        <f aca="true" t="shared" si="19" ref="G42:L42">G37+G38+G39+G40+G41</f>
        <v>13764210.238026956</v>
      </c>
      <c r="H42" s="56">
        <f t="shared" si="19"/>
        <v>13945864.655908803</v>
      </c>
      <c r="I42" s="56">
        <f t="shared" si="19"/>
        <v>14155952.487963548</v>
      </c>
      <c r="J42" s="56">
        <f t="shared" si="19"/>
        <v>14395633.427134572</v>
      </c>
      <c r="K42" s="56">
        <f t="shared" si="19"/>
        <v>14666248.216681078</v>
      </c>
      <c r="L42" s="56">
        <f t="shared" si="19"/>
        <v>14969331.051924562</v>
      </c>
      <c r="M42" s="56">
        <f aca="true" t="shared" si="20" ref="M42:R42">M37+M38+M39+M40+M41</f>
        <v>15306623.951479971</v>
      </c>
      <c r="N42" s="56">
        <f t="shared" si="20"/>
        <v>15680093.284944814</v>
      </c>
      <c r="O42" s="56">
        <f t="shared" si="20"/>
        <v>16091948.674668962</v>
      </c>
      <c r="P42" s="56">
        <f t="shared" si="20"/>
        <v>16544664.52353189</v>
      </c>
      <c r="Q42" s="56">
        <f t="shared" si="20"/>
        <v>17041004.459237847</v>
      </c>
      <c r="R42" s="56">
        <f t="shared" si="20"/>
        <v>17552234.59301498</v>
      </c>
      <c r="S42" s="124"/>
    </row>
    <row r="43" spans="1:19" ht="12.75" thickTop="1">
      <c r="A43" s="77"/>
      <c r="B43" s="43"/>
      <c r="C43" s="43"/>
      <c r="D43" s="43"/>
      <c r="E43" s="43"/>
      <c r="F43" s="43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124"/>
    </row>
    <row r="44" spans="1:19" ht="12">
      <c r="A44" s="230" t="s">
        <v>111</v>
      </c>
      <c r="B44" s="111">
        <f aca="true" t="shared" si="21" ref="B44:F47">B105</f>
        <v>94000</v>
      </c>
      <c r="C44" s="111">
        <f t="shared" si="21"/>
        <v>105000</v>
      </c>
      <c r="D44" s="111">
        <f t="shared" si="21"/>
        <v>139000</v>
      </c>
      <c r="E44" s="111">
        <f t="shared" si="21"/>
        <v>110000</v>
      </c>
      <c r="F44" s="111">
        <f t="shared" si="21"/>
        <v>127000</v>
      </c>
      <c r="G44" s="129">
        <f>G42*'Forecasting Assumptions'!G45</f>
        <v>128438.99340407224</v>
      </c>
      <c r="H44" s="122">
        <f>H42*'Forecasting Assumptions'!H45</f>
        <v>130134.07871421144</v>
      </c>
      <c r="I44" s="122">
        <f>I42*'Forecasting Assumptions'!I45</f>
        <v>132094.4868458024</v>
      </c>
      <c r="J44" s="122">
        <f>J42*'Forecasting Assumptions'!J45</f>
        <v>134331.03932741296</v>
      </c>
      <c r="K44" s="122">
        <f>K42*'Forecasting Assumptions'!K45</f>
        <v>136856.24713581902</v>
      </c>
      <c r="L44" s="122">
        <f>L42*'Forecasting Assumptions'!L45</f>
        <v>139684.42642133866</v>
      </c>
      <c r="M44" s="5">
        <f>M42*'Forecasting Assumptions'!M45</f>
        <v>142831.83261116504</v>
      </c>
      <c r="N44" s="5">
        <f>N42*'Forecasting Assumptions'!N45</f>
        <v>146316.81463541448</v>
      </c>
      <c r="O44" s="5">
        <f>O42*'Forecasting Assumptions'!O45</f>
        <v>150159.9913066097</v>
      </c>
      <c r="P44" s="5">
        <f>P42*'Forecasting Assumptions'!P45</f>
        <v>154384.45220342025</v>
      </c>
      <c r="Q44" s="5">
        <f>Q42*'Forecasting Assumptions'!Q45</f>
        <v>159015.98576952287</v>
      </c>
      <c r="R44" s="5">
        <f>R42*'Forecasting Assumptions'!R45</f>
        <v>163786.46534260857</v>
      </c>
      <c r="S44" s="124"/>
    </row>
    <row r="45" spans="1:19" ht="12">
      <c r="A45" s="230" t="s">
        <v>112</v>
      </c>
      <c r="B45" s="111">
        <f t="shared" si="21"/>
        <v>1230000</v>
      </c>
      <c r="C45" s="111">
        <f t="shared" si="21"/>
        <v>1310000</v>
      </c>
      <c r="D45" s="111">
        <f t="shared" si="21"/>
        <v>1370000</v>
      </c>
      <c r="E45" s="111">
        <f t="shared" si="21"/>
        <v>1510000</v>
      </c>
      <c r="F45" s="111">
        <f t="shared" si="21"/>
        <v>1250000</v>
      </c>
      <c r="G45" s="129">
        <f>-G13*'Forecasting Assumptions'!G33</f>
        <v>1264163.320906223</v>
      </c>
      <c r="H45" s="122">
        <f>-H13*'Forecasting Assumptions'!H33</f>
        <v>1280847.2314390892</v>
      </c>
      <c r="I45" s="122">
        <f>-I13*'Forecasting Assumptions'!I33</f>
        <v>1300142.587064984</v>
      </c>
      <c r="J45" s="122">
        <f>-J13*'Forecasting Assumptions'!J33</f>
        <v>1322155.8988918602</v>
      </c>
      <c r="K45" s="122">
        <f>-K13*'Forecasting Assumptions'!K33</f>
        <v>1347010.3064549116</v>
      </c>
      <c r="L45" s="122">
        <f>-L13*'Forecasting Assumptions'!L33</f>
        <v>1374846.7167454595</v>
      </c>
      <c r="M45" s="5">
        <f>-M13*'Forecasting Assumptions'!M33</f>
        <v>1405825.1241256404</v>
      </c>
      <c r="N45" s="5">
        <f>-N13*'Forecasting Assumptions'!N33</f>
        <v>1440126.1283013239</v>
      </c>
      <c r="O45" s="5">
        <f>-O13*'Forecasting Assumptions'!O33</f>
        <v>1477952.6703406468</v>
      </c>
      <c r="P45" s="5">
        <f>-P13*'Forecasting Assumptions'!P33</f>
        <v>1519532.0098761837</v>
      </c>
      <c r="Q45" s="5">
        <f>-Q13*'Forecasting Assumptions'!Q33</f>
        <v>1565117.9701724693</v>
      </c>
      <c r="R45" s="5">
        <f>-R13*'Forecasting Assumptions'!R33</f>
        <v>1612071.5092776434</v>
      </c>
      <c r="S45" s="124"/>
    </row>
    <row r="46" spans="1:19" ht="12">
      <c r="A46" s="230" t="s">
        <v>436</v>
      </c>
      <c r="B46" s="111">
        <f t="shared" si="21"/>
        <v>133000</v>
      </c>
      <c r="C46" s="111">
        <f t="shared" si="21"/>
        <v>290000</v>
      </c>
      <c r="D46" s="111">
        <f t="shared" si="21"/>
        <v>94000</v>
      </c>
      <c r="E46" s="111">
        <f t="shared" si="21"/>
        <v>78000</v>
      </c>
      <c r="F46" s="111">
        <f t="shared" si="21"/>
        <v>130000</v>
      </c>
      <c r="G46" s="129">
        <f>G12*'Forecasting Assumptions'!G34</f>
        <v>131472.98537424722</v>
      </c>
      <c r="H46" s="122">
        <f>H12*'Forecasting Assumptions'!H34</f>
        <v>133208.11206966528</v>
      </c>
      <c r="I46" s="122">
        <f>I12*'Forecasting Assumptions'!I34</f>
        <v>135214.82905475836</v>
      </c>
      <c r="J46" s="122">
        <f>J12*'Forecasting Assumptions'!J34</f>
        <v>137504.21348475345</v>
      </c>
      <c r="K46" s="122">
        <f>K12*'Forecasting Assumptions'!K34</f>
        <v>140089.07187131082</v>
      </c>
      <c r="L46" s="122">
        <f>L12*'Forecasting Assumptions'!L34</f>
        <v>142984.0585415278</v>
      </c>
      <c r="M46" s="5">
        <f>M12*'Forecasting Assumptions'!M34</f>
        <v>146205.8129090666</v>
      </c>
      <c r="N46" s="5">
        <f>N12*'Forecasting Assumptions'!N34</f>
        <v>149773.1173433377</v>
      </c>
      <c r="O46" s="5">
        <f>O12*'Forecasting Assumptions'!O34</f>
        <v>153707.07771542727</v>
      </c>
      <c r="P46" s="5">
        <f>P12*'Forecasting Assumptions'!P34</f>
        <v>158031.3290271231</v>
      </c>
      <c r="Q46" s="5">
        <f>Q12*'Forecasting Assumptions'!Q34</f>
        <v>162772.26889793682</v>
      </c>
      <c r="R46" s="5">
        <f>R12*'Forecasting Assumptions'!R34</f>
        <v>167655.43696487494</v>
      </c>
      <c r="S46" s="124"/>
    </row>
    <row r="47" spans="1:19" ht="12">
      <c r="A47" s="230" t="s">
        <v>329</v>
      </c>
      <c r="B47" s="111">
        <f t="shared" si="21"/>
        <v>1130000</v>
      </c>
      <c r="C47" s="111">
        <f t="shared" si="21"/>
        <v>833000</v>
      </c>
      <c r="D47" s="111">
        <f t="shared" si="21"/>
        <v>1140000</v>
      </c>
      <c r="E47" s="111">
        <f t="shared" si="21"/>
        <v>11600000</v>
      </c>
      <c r="F47" s="111">
        <f t="shared" si="21"/>
        <v>1210000</v>
      </c>
      <c r="G47" s="129">
        <f>G12*'Forecasting Assumptions'!G35</f>
        <v>1223710.094637224</v>
      </c>
      <c r="H47" s="122">
        <f>H12*'Forecasting Assumptions'!H35</f>
        <v>1239860.1200330383</v>
      </c>
      <c r="I47" s="122">
        <f>I12*'Forecasting Assumptions'!I35</f>
        <v>1258538.0242789045</v>
      </c>
      <c r="J47" s="122">
        <f>J12*'Forecasting Assumptions'!J35</f>
        <v>1279846.9101273206</v>
      </c>
      <c r="K47" s="122">
        <f>K12*'Forecasting Assumptions'!K35</f>
        <v>1303905.9766483544</v>
      </c>
      <c r="L47" s="122">
        <f>L12*'Forecasting Assumptions'!L35</f>
        <v>1330851.6218096048</v>
      </c>
      <c r="M47" s="5">
        <f>M12*'Forecasting Assumptions'!M35</f>
        <v>1360838.7201536198</v>
      </c>
      <c r="N47" s="5">
        <f>N12*'Forecasting Assumptions'!N35</f>
        <v>1394042.0921956815</v>
      </c>
      <c r="O47" s="5">
        <f>O12*'Forecasting Assumptions'!O35</f>
        <v>1430658.184889746</v>
      </c>
      <c r="P47" s="5">
        <f>P12*'Forecasting Assumptions'!P35</f>
        <v>1470906.985560146</v>
      </c>
      <c r="Q47" s="5">
        <f>Q12*'Forecasting Assumptions'!Q35</f>
        <v>1515034.1951269503</v>
      </c>
      <c r="R47" s="5">
        <f>R12*'Forecasting Assumptions'!R35</f>
        <v>1560485.220980759</v>
      </c>
      <c r="S47" s="124"/>
    </row>
    <row r="48" spans="1:19" ht="12">
      <c r="A48" s="230" t="s">
        <v>330</v>
      </c>
      <c r="B48" s="43">
        <f>SUM(B44:B47)</f>
        <v>2587000</v>
      </c>
      <c r="C48" s="43">
        <f>SUM(C44:C47)</f>
        <v>2538000</v>
      </c>
      <c r="D48" s="43">
        <f>SUM(D44:D47)</f>
        <v>2743000</v>
      </c>
      <c r="E48" s="43">
        <f>SUM(E44:E47)</f>
        <v>13298000</v>
      </c>
      <c r="F48" s="43">
        <f>SUM(F44:F47)</f>
        <v>2717000</v>
      </c>
      <c r="G48" s="5">
        <f aca="true" t="shared" si="22" ref="G48:L48">G44+G45+G46+G47</f>
        <v>2747785.3943217667</v>
      </c>
      <c r="H48" s="5">
        <f t="shared" si="22"/>
        <v>2784049.542256004</v>
      </c>
      <c r="I48" s="5">
        <f t="shared" si="22"/>
        <v>2825989.927244449</v>
      </c>
      <c r="J48" s="5">
        <f t="shared" si="22"/>
        <v>2873838.0618313467</v>
      </c>
      <c r="K48" s="5">
        <f t="shared" si="22"/>
        <v>2927861.6021103957</v>
      </c>
      <c r="L48" s="5">
        <f t="shared" si="22"/>
        <v>2988366.8235179307</v>
      </c>
      <c r="M48" s="5">
        <f aca="true" t="shared" si="23" ref="M48:R48">M44+M45+M46+M47</f>
        <v>3055701.489799492</v>
      </c>
      <c r="N48" s="5">
        <f t="shared" si="23"/>
        <v>3130258.1524757575</v>
      </c>
      <c r="O48" s="5">
        <f t="shared" si="23"/>
        <v>3212477.9242524295</v>
      </c>
      <c r="P48" s="5">
        <f t="shared" si="23"/>
        <v>3302854.776666873</v>
      </c>
      <c r="Q48" s="5">
        <f t="shared" si="23"/>
        <v>3401940.4199668793</v>
      </c>
      <c r="R48" s="5">
        <f t="shared" si="23"/>
        <v>3503998.632565886</v>
      </c>
      <c r="S48" s="124"/>
    </row>
    <row r="49" spans="1:19" ht="12">
      <c r="A49" s="230" t="s">
        <v>331</v>
      </c>
      <c r="B49" s="111">
        <f aca="true" t="shared" si="24" ref="B49:F51">B109</f>
        <v>4150000</v>
      </c>
      <c r="C49" s="111">
        <f t="shared" si="24"/>
        <v>4450000</v>
      </c>
      <c r="D49" s="111">
        <f t="shared" si="24"/>
        <v>4720000</v>
      </c>
      <c r="E49" s="111">
        <f t="shared" si="24"/>
        <v>4650000</v>
      </c>
      <c r="F49" s="111">
        <f t="shared" si="24"/>
        <v>4580000</v>
      </c>
      <c r="G49" s="129">
        <f>G42*'Forecasting Assumptions'!G46</f>
        <v>4631894.407800401</v>
      </c>
      <c r="H49" s="122">
        <f>H42*'Forecasting Assumptions'!H46</f>
        <v>4693024.255992822</v>
      </c>
      <c r="I49" s="122">
        <f>I42*'Forecasting Assumptions'!I46</f>
        <v>4763722.439006102</v>
      </c>
      <c r="J49" s="122">
        <f>J42*'Forecasting Assumptions'!J46</f>
        <v>4844379.2135397745</v>
      </c>
      <c r="K49" s="122">
        <f>K42*'Forecasting Assumptions'!K46</f>
        <v>4935445.762850796</v>
      </c>
      <c r="L49" s="122">
        <f>L42*'Forecasting Assumptions'!L46</f>
        <v>5037438.370155363</v>
      </c>
      <c r="M49" s="5">
        <f>M42*'Forecasting Assumptions'!M46</f>
        <v>5150943.254796346</v>
      </c>
      <c r="N49" s="5">
        <f>N42*'Forecasting Assumptions'!N46</f>
        <v>5276622.134096051</v>
      </c>
      <c r="O49" s="5">
        <f>O42*'Forecasting Assumptions'!O46</f>
        <v>5415218.584128129</v>
      </c>
      <c r="P49" s="5">
        <f>P42*'Forecasting Assumptions'!P46</f>
        <v>5567565.284186337</v>
      </c>
      <c r="Q49" s="5">
        <f>Q42*'Forecasting Assumptions'!Q46</f>
        <v>5734592.242711928</v>
      </c>
      <c r="R49" s="5">
        <f>R42*'Forecasting Assumptions'!R46</f>
        <v>5906630.009993285</v>
      </c>
      <c r="S49" s="124"/>
    </row>
    <row r="50" spans="1:19" ht="12">
      <c r="A50" s="230" t="s">
        <v>296</v>
      </c>
      <c r="B50" s="111">
        <f t="shared" si="24"/>
        <v>460000</v>
      </c>
      <c r="C50" s="111">
        <f t="shared" si="24"/>
        <v>512000</v>
      </c>
      <c r="D50" s="111">
        <f t="shared" si="24"/>
        <v>560000</v>
      </c>
      <c r="E50" s="111">
        <f t="shared" si="24"/>
        <v>562000</v>
      </c>
      <c r="F50" s="111">
        <f t="shared" si="24"/>
        <v>563000</v>
      </c>
      <c r="G50" s="129">
        <f>G12*'Forecasting Assumptions'!G42</f>
        <v>569379.1597361629</v>
      </c>
      <c r="H50" s="122">
        <f>H12*'Forecasting Assumptions'!H42</f>
        <v>576893.5930401658</v>
      </c>
      <c r="I50" s="122">
        <f>I12*'Forecasting Assumptions'!I42</f>
        <v>585584.2212140688</v>
      </c>
      <c r="J50" s="122">
        <f>J12*'Forecasting Assumptions'!J42</f>
        <v>595499.0168608938</v>
      </c>
      <c r="K50" s="122">
        <f>K12*'Forecasting Assumptions'!K42</f>
        <v>606693.4420272922</v>
      </c>
      <c r="L50" s="122">
        <f>L12*'Forecasting Assumptions'!L42</f>
        <v>619230.9612221549</v>
      </c>
      <c r="M50" s="5">
        <f>M12*'Forecasting Assumptions'!M42</f>
        <v>633183.6359061884</v>
      </c>
      <c r="N50" s="5">
        <f>N12*'Forecasting Assumptions'!N42</f>
        <v>648632.8081869163</v>
      </c>
      <c r="O50" s="5">
        <f>O12*'Forecasting Assumptions'!O42</f>
        <v>665669.8827214272</v>
      </c>
      <c r="P50" s="5">
        <f>P12*'Forecasting Assumptions'!P42</f>
        <v>684397.2172482332</v>
      </c>
      <c r="Q50" s="5">
        <f>Q12*'Forecasting Assumptions'!Q42</f>
        <v>704929.1337656802</v>
      </c>
      <c r="R50" s="5">
        <f>R12*'Forecasting Assumptions'!R42</f>
        <v>726077.0077786506</v>
      </c>
      <c r="S50" s="124"/>
    </row>
    <row r="51" spans="1:19" ht="12">
      <c r="A51" s="230" t="s">
        <v>297</v>
      </c>
      <c r="B51" s="111">
        <f t="shared" si="24"/>
        <v>386000</v>
      </c>
      <c r="C51" s="111">
        <f t="shared" si="24"/>
        <v>362000</v>
      </c>
      <c r="D51" s="111">
        <f t="shared" si="24"/>
        <v>382000</v>
      </c>
      <c r="E51" s="111">
        <f t="shared" si="24"/>
        <v>368000</v>
      </c>
      <c r="F51" s="111">
        <f t="shared" si="24"/>
        <v>257000</v>
      </c>
      <c r="G51" s="129">
        <f>G12*'Forecasting Assumptions'!G43</f>
        <v>259911.97877831946</v>
      </c>
      <c r="H51" s="122">
        <f>H12*'Forecasting Assumptions'!H43</f>
        <v>263342.19078387675</v>
      </c>
      <c r="I51" s="122">
        <f>I12*'Forecasting Assumptions'!I43</f>
        <v>267309.31590056076</v>
      </c>
      <c r="J51" s="122">
        <f>J12*'Forecasting Assumptions'!J43</f>
        <v>271835.25281216647</v>
      </c>
      <c r="K51" s="122">
        <f>K12*'Forecasting Assumptions'!K43</f>
        <v>276945.3190071299</v>
      </c>
      <c r="L51" s="122">
        <f>L12*'Forecasting Assumptions'!L43</f>
        <v>282668.48496286647</v>
      </c>
      <c r="M51" s="5">
        <f>M12*'Forecasting Assumptions'!M43</f>
        <v>289037.6455202316</v>
      </c>
      <c r="N51" s="5">
        <f>N12*'Forecasting Assumptions'!N43</f>
        <v>296089.9319787522</v>
      </c>
      <c r="O51" s="5">
        <f>O12*'Forecasting Assumptions'!O43</f>
        <v>303867.069022037</v>
      </c>
      <c r="P51" s="5">
        <f>P12*'Forecasting Assumptions'!P43</f>
        <v>312415.7812305434</v>
      </c>
      <c r="Q51" s="5">
        <f>Q12*'Forecasting Assumptions'!Q43</f>
        <v>321788.2546674597</v>
      </c>
      <c r="R51" s="5">
        <f>R12*'Forecasting Assumptions'!R43</f>
        <v>331441.90230748354</v>
      </c>
      <c r="S51" s="124"/>
    </row>
    <row r="52" spans="1:19" ht="12">
      <c r="A52" s="230" t="s">
        <v>248</v>
      </c>
      <c r="B52" s="43">
        <f aca="true" t="shared" si="25" ref="B52:G52">SUM(B48:B51)</f>
        <v>7583000</v>
      </c>
      <c r="C52" s="43">
        <f t="shared" si="25"/>
        <v>7862000</v>
      </c>
      <c r="D52" s="43">
        <f t="shared" si="25"/>
        <v>8405000</v>
      </c>
      <c r="E52" s="43">
        <f t="shared" si="25"/>
        <v>18878000</v>
      </c>
      <c r="F52" s="43">
        <f t="shared" si="25"/>
        <v>8117000</v>
      </c>
      <c r="G52" s="5">
        <f t="shared" si="25"/>
        <v>8208970.94063665</v>
      </c>
      <c r="H52" s="5">
        <f aca="true" t="shared" si="26" ref="H52:R52">SUM(H48:H51)</f>
        <v>8317309.582072869</v>
      </c>
      <c r="I52" s="5">
        <f t="shared" si="26"/>
        <v>8442605.903365182</v>
      </c>
      <c r="J52" s="5">
        <f t="shared" si="26"/>
        <v>8585551.545044182</v>
      </c>
      <c r="K52" s="5">
        <f t="shared" si="26"/>
        <v>8746946.125995615</v>
      </c>
      <c r="L52" s="5">
        <f t="shared" si="26"/>
        <v>8927704.639858315</v>
      </c>
      <c r="M52" s="5">
        <f t="shared" si="26"/>
        <v>9128866.026022257</v>
      </c>
      <c r="N52" s="5">
        <f t="shared" si="26"/>
        <v>9351603.026737478</v>
      </c>
      <c r="O52" s="5">
        <f t="shared" si="26"/>
        <v>9597233.460124023</v>
      </c>
      <c r="P52" s="5">
        <f t="shared" si="26"/>
        <v>9867233.059331985</v>
      </c>
      <c r="Q52" s="5">
        <f t="shared" si="26"/>
        <v>10163250.051111948</v>
      </c>
      <c r="R52" s="5">
        <f t="shared" si="26"/>
        <v>10468147.552645305</v>
      </c>
      <c r="S52" s="124"/>
    </row>
    <row r="53" spans="1:19" ht="12">
      <c r="A53" s="230" t="s">
        <v>295</v>
      </c>
      <c r="B53" s="111">
        <f>B112</f>
        <v>0</v>
      </c>
      <c r="C53" s="111">
        <f>C112</f>
        <v>0</v>
      </c>
      <c r="D53" s="111">
        <f>D112</f>
        <v>0</v>
      </c>
      <c r="E53" s="111">
        <f>E112</f>
        <v>0</v>
      </c>
      <c r="F53" s="111">
        <f>F112</f>
        <v>0</v>
      </c>
      <c r="G53" s="129">
        <f>G42*'Forecasting Assumptions'!G47</f>
        <v>0</v>
      </c>
      <c r="H53" s="5">
        <f>H42*'Forecasting Assumptions'!H47</f>
        <v>0</v>
      </c>
      <c r="I53" s="5">
        <f>I42*'Forecasting Assumptions'!I47</f>
        <v>0</v>
      </c>
      <c r="J53" s="5">
        <f>J42*'Forecasting Assumptions'!J47</f>
        <v>0</v>
      </c>
      <c r="K53" s="5">
        <f>K42*'Forecasting Assumptions'!K47</f>
        <v>0</v>
      </c>
      <c r="L53" s="5">
        <f>L42*'Forecasting Assumptions'!L47</f>
        <v>0</v>
      </c>
      <c r="M53" s="5">
        <f>M42*'Forecasting Assumptions'!M47</f>
        <v>0</v>
      </c>
      <c r="N53" s="5">
        <f>N42*'Forecasting Assumptions'!N47</f>
        <v>0</v>
      </c>
      <c r="O53" s="5">
        <f>O42*'Forecasting Assumptions'!O47</f>
        <v>0</v>
      </c>
      <c r="P53" s="5">
        <f>P42*'Forecasting Assumptions'!P47</f>
        <v>0</v>
      </c>
      <c r="Q53" s="5">
        <f>Q42*'Forecasting Assumptions'!Q47</f>
        <v>0</v>
      </c>
      <c r="R53" s="5">
        <f>R42*'Forecasting Assumptions'!R47</f>
        <v>0</v>
      </c>
      <c r="S53" s="124"/>
    </row>
    <row r="54" spans="1:19" ht="12">
      <c r="A54" s="230" t="s">
        <v>328</v>
      </c>
      <c r="B54" s="111">
        <f aca="true" t="shared" si="27" ref="B54:F56">B113</f>
        <v>0</v>
      </c>
      <c r="C54" s="111">
        <f t="shared" si="27"/>
        <v>0</v>
      </c>
      <c r="D54" s="111">
        <f t="shared" si="27"/>
        <v>0</v>
      </c>
      <c r="E54" s="111">
        <f t="shared" si="27"/>
        <v>0</v>
      </c>
      <c r="F54" s="111">
        <f t="shared" si="27"/>
        <v>0</v>
      </c>
      <c r="G54" s="129">
        <f>G42*'Forecasting Assumptions'!G48</f>
        <v>0</v>
      </c>
      <c r="H54" s="122">
        <f>H42*'Forecasting Assumptions'!H48</f>
        <v>0</v>
      </c>
      <c r="I54" s="122">
        <f>I42*'Forecasting Assumptions'!I48</f>
        <v>0</v>
      </c>
      <c r="J54" s="122">
        <f>J42*'Forecasting Assumptions'!J48</f>
        <v>0</v>
      </c>
      <c r="K54" s="122">
        <f>K42*'Forecasting Assumptions'!K48</f>
        <v>0</v>
      </c>
      <c r="L54" s="122">
        <f>L42*'Forecasting Assumptions'!L48</f>
        <v>0</v>
      </c>
      <c r="M54" s="5">
        <f>M42*'Forecasting Assumptions'!M48</f>
        <v>0</v>
      </c>
      <c r="N54" s="5">
        <f>N42*'Forecasting Assumptions'!N48</f>
        <v>0</v>
      </c>
      <c r="O54" s="5">
        <f>O42*'Forecasting Assumptions'!O48</f>
        <v>0</v>
      </c>
      <c r="P54" s="5">
        <f>P42*'Forecasting Assumptions'!P48</f>
        <v>0</v>
      </c>
      <c r="Q54" s="5">
        <f>Q42*'Forecasting Assumptions'!Q48</f>
        <v>0</v>
      </c>
      <c r="R54" s="5">
        <f>R42*'Forecasting Assumptions'!R48</f>
        <v>0</v>
      </c>
      <c r="S54" s="124"/>
    </row>
    <row r="55" spans="1:19" ht="12">
      <c r="A55" s="230" t="s">
        <v>208</v>
      </c>
      <c r="B55" s="111">
        <f t="shared" si="27"/>
        <v>6510000</v>
      </c>
      <c r="C55" s="111">
        <f t="shared" si="27"/>
        <v>6050000</v>
      </c>
      <c r="D55" s="111">
        <f t="shared" si="27"/>
        <v>5980000</v>
      </c>
      <c r="E55" s="111">
        <f t="shared" si="27"/>
        <v>59900000</v>
      </c>
      <c r="F55" s="111">
        <f t="shared" si="27"/>
        <v>5490000</v>
      </c>
      <c r="G55" s="129">
        <f aca="true" t="shared" si="28" ref="G55:L55">G57-G56</f>
        <v>-46762036.261607096</v>
      </c>
      <c r="H55" s="122">
        <f t="shared" si="28"/>
        <v>-87202551.13869798</v>
      </c>
      <c r="I55" s="122">
        <f t="shared" si="28"/>
        <v>-128240717.91885123</v>
      </c>
      <c r="J55" s="122">
        <f t="shared" si="28"/>
        <v>-169962002.87306082</v>
      </c>
      <c r="K55" s="122">
        <f t="shared" si="28"/>
        <v>-212455686.56373444</v>
      </c>
      <c r="L55" s="122">
        <f t="shared" si="28"/>
        <v>-255815420.37360153</v>
      </c>
      <c r="M55" s="5">
        <f aca="true" t="shared" si="29" ref="M55:R55">M57-M56</f>
        <v>-300139823.90647703</v>
      </c>
      <c r="N55" s="5">
        <f t="shared" si="29"/>
        <v>-345533129.44171584</v>
      </c>
      <c r="O55" s="5">
        <f t="shared" si="29"/>
        <v>-392105880.2427404</v>
      </c>
      <c r="P55" s="5">
        <f t="shared" si="29"/>
        <v>-439975690.2366063</v>
      </c>
      <c r="Q55" s="5">
        <f t="shared" si="29"/>
        <v>-489268073.4083341</v>
      </c>
      <c r="R55" s="5">
        <f t="shared" si="29"/>
        <v>-540039228.0752137</v>
      </c>
      <c r="S55" s="124"/>
    </row>
    <row r="56" spans="1:19" ht="12">
      <c r="A56" s="230" t="s">
        <v>370</v>
      </c>
      <c r="B56" s="111">
        <f t="shared" si="27"/>
        <v>10200000</v>
      </c>
      <c r="C56" s="111">
        <f t="shared" si="27"/>
        <v>10880000</v>
      </c>
      <c r="D56" s="111">
        <f t="shared" si="27"/>
        <v>11460000</v>
      </c>
      <c r="E56" s="111">
        <f t="shared" si="27"/>
        <v>12010000</v>
      </c>
      <c r="F56" s="111">
        <f t="shared" si="27"/>
        <v>12330000</v>
      </c>
      <c r="G56" s="129">
        <f aca="true" t="shared" si="30" ref="G56:L56">G66</f>
        <v>52317275.5589974</v>
      </c>
      <c r="H56" s="122">
        <f t="shared" si="30"/>
        <v>92831106.21253392</v>
      </c>
      <c r="I56" s="122">
        <f t="shared" si="30"/>
        <v>133954064.50344959</v>
      </c>
      <c r="J56" s="122">
        <f t="shared" si="30"/>
        <v>175772084.7551512</v>
      </c>
      <c r="K56" s="122">
        <f t="shared" si="30"/>
        <v>218374988.6544199</v>
      </c>
      <c r="L56" s="122">
        <f t="shared" si="30"/>
        <v>261857046.78566778</v>
      </c>
      <c r="M56" s="5">
        <f aca="true" t="shared" si="31" ref="M56:R56">M66</f>
        <v>306317581.83193475</v>
      </c>
      <c r="N56" s="5">
        <f t="shared" si="31"/>
        <v>351861619.69992316</v>
      </c>
      <c r="O56" s="5">
        <f t="shared" si="31"/>
        <v>398600595.45728534</v>
      </c>
      <c r="P56" s="5">
        <f t="shared" si="31"/>
        <v>446653121.7008062</v>
      </c>
      <c r="Q56" s="5">
        <f t="shared" si="31"/>
        <v>496145827.81645995</v>
      </c>
      <c r="R56" s="5">
        <f t="shared" si="31"/>
        <v>547123315.1155833</v>
      </c>
      <c r="S56" s="124"/>
    </row>
    <row r="57" spans="1:19" ht="12">
      <c r="A57" s="230" t="s">
        <v>371</v>
      </c>
      <c r="B57" s="43">
        <f>SUM(B55:B56)</f>
        <v>16710000</v>
      </c>
      <c r="C57" s="43">
        <f>SUM(C55:C56)</f>
        <v>16930000</v>
      </c>
      <c r="D57" s="43">
        <f>SUM(D55:D56)</f>
        <v>17440000</v>
      </c>
      <c r="E57" s="43">
        <f>SUM(E55:E56)</f>
        <v>71910000</v>
      </c>
      <c r="F57" s="43">
        <f>SUM(F55:F56)</f>
        <v>17820000</v>
      </c>
      <c r="G57" s="5">
        <f>G58-G52-G53-G54</f>
        <v>5555239.297390306</v>
      </c>
      <c r="H57" s="5">
        <f aca="true" t="shared" si="32" ref="H57:R57">H58-H52-H53-H54</f>
        <v>5628555.073835934</v>
      </c>
      <c r="I57" s="5">
        <f t="shared" si="32"/>
        <v>5713346.584598366</v>
      </c>
      <c r="J57" s="5">
        <f t="shared" si="32"/>
        <v>5810081.88209039</v>
      </c>
      <c r="K57" s="5">
        <f t="shared" si="32"/>
        <v>5919302.090685463</v>
      </c>
      <c r="L57" s="5">
        <f t="shared" si="32"/>
        <v>6041626.412066247</v>
      </c>
      <c r="M57" s="5">
        <f t="shared" si="32"/>
        <v>6177757.925457714</v>
      </c>
      <c r="N57" s="5">
        <f t="shared" si="32"/>
        <v>6328490.258207336</v>
      </c>
      <c r="O57" s="5">
        <f t="shared" si="32"/>
        <v>6494715.214544939</v>
      </c>
      <c r="P57" s="5">
        <f t="shared" si="32"/>
        <v>6677431.464199904</v>
      </c>
      <c r="Q57" s="5">
        <f t="shared" si="32"/>
        <v>6877754.4081259</v>
      </c>
      <c r="R57" s="5">
        <f t="shared" si="32"/>
        <v>7084087.040369676</v>
      </c>
      <c r="S57" s="124"/>
    </row>
    <row r="58" spans="1:19" ht="12.75" thickBot="1">
      <c r="A58" s="230" t="s">
        <v>372</v>
      </c>
      <c r="B58" s="55">
        <f>SUM(B52:B56)</f>
        <v>24293000</v>
      </c>
      <c r="C58" s="55">
        <f>SUM(C52:C56)</f>
        <v>24792000</v>
      </c>
      <c r="D58" s="55">
        <f>SUM(D52:D56)</f>
        <v>25845000</v>
      </c>
      <c r="E58" s="55">
        <f>SUM(E52:E56)</f>
        <v>90788000</v>
      </c>
      <c r="F58" s="55">
        <f>SUM(F52:F56)</f>
        <v>25937000</v>
      </c>
      <c r="G58" s="56">
        <f aca="true" t="shared" si="33" ref="G58:L58">G42</f>
        <v>13764210.238026956</v>
      </c>
      <c r="H58" s="56">
        <f t="shared" si="33"/>
        <v>13945864.655908803</v>
      </c>
      <c r="I58" s="56">
        <f t="shared" si="33"/>
        <v>14155952.487963548</v>
      </c>
      <c r="J58" s="56">
        <f t="shared" si="33"/>
        <v>14395633.427134572</v>
      </c>
      <c r="K58" s="56">
        <f t="shared" si="33"/>
        <v>14666248.216681078</v>
      </c>
      <c r="L58" s="56">
        <f t="shared" si="33"/>
        <v>14969331.051924562</v>
      </c>
      <c r="M58" s="56">
        <f aca="true" t="shared" si="34" ref="M58:R58">M42</f>
        <v>15306623.951479971</v>
      </c>
      <c r="N58" s="56">
        <f t="shared" si="34"/>
        <v>15680093.284944814</v>
      </c>
      <c r="O58" s="56">
        <f t="shared" si="34"/>
        <v>16091948.674668962</v>
      </c>
      <c r="P58" s="56">
        <f t="shared" si="34"/>
        <v>16544664.52353189</v>
      </c>
      <c r="Q58" s="56">
        <f t="shared" si="34"/>
        <v>17041004.459237847</v>
      </c>
      <c r="R58" s="56">
        <f t="shared" si="34"/>
        <v>17552234.59301498</v>
      </c>
      <c r="S58" s="124"/>
    </row>
    <row r="59" spans="1:19" ht="12.75" thickTop="1">
      <c r="A59" s="231"/>
      <c r="B59" s="80" t="str">
        <f>IF(B58=B42," ","Error! A =L+E?")</f>
        <v>Error! A =L+E?</v>
      </c>
      <c r="C59" s="80"/>
      <c r="D59" s="80"/>
      <c r="E59" s="80"/>
      <c r="F59" s="80"/>
      <c r="G59" s="80" t="str">
        <f aca="true" t="shared" si="35" ref="G59:R59">IF(G58=G42," ","Error! A =L+E?")</f>
        <v> </v>
      </c>
      <c r="H59" s="80" t="str">
        <f t="shared" si="35"/>
        <v> </v>
      </c>
      <c r="I59" s="80" t="str">
        <f t="shared" si="35"/>
        <v> </v>
      </c>
      <c r="J59" s="80" t="str">
        <f t="shared" si="35"/>
        <v> </v>
      </c>
      <c r="K59" s="80" t="str">
        <f t="shared" si="35"/>
        <v> </v>
      </c>
      <c r="L59" s="80" t="str">
        <f t="shared" si="35"/>
        <v> </v>
      </c>
      <c r="M59" s="80" t="str">
        <f t="shared" si="35"/>
        <v> </v>
      </c>
      <c r="N59" s="80" t="str">
        <f t="shared" si="35"/>
        <v> </v>
      </c>
      <c r="O59" s="80" t="str">
        <f t="shared" si="35"/>
        <v> </v>
      </c>
      <c r="P59" s="80" t="str">
        <f t="shared" si="35"/>
        <v> </v>
      </c>
      <c r="Q59" s="80" t="str">
        <f t="shared" si="35"/>
        <v> </v>
      </c>
      <c r="R59" s="80" t="str">
        <f t="shared" si="35"/>
        <v> </v>
      </c>
      <c r="S59" s="124"/>
    </row>
    <row r="60" spans="1:19" ht="12">
      <c r="A60" s="6" t="s">
        <v>311</v>
      </c>
      <c r="B60" s="46"/>
      <c r="C60" s="46"/>
      <c r="D60" s="46"/>
      <c r="E60" s="43"/>
      <c r="F60" s="43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S60" s="124"/>
    </row>
    <row r="61" spans="1:19" ht="12">
      <c r="A61" s="6"/>
      <c r="B61" s="46"/>
      <c r="C61" s="46"/>
      <c r="D61" s="46"/>
      <c r="E61" s="43"/>
      <c r="F61" s="43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S61" s="124"/>
    </row>
    <row r="62" spans="1:19" ht="12">
      <c r="A62" s="230" t="s">
        <v>287</v>
      </c>
      <c r="B62" s="43"/>
      <c r="C62" s="43">
        <f>B56</f>
        <v>10200000</v>
      </c>
      <c r="D62" s="43">
        <f>C56</f>
        <v>10880000</v>
      </c>
      <c r="E62" s="43">
        <f>D56</f>
        <v>11460000</v>
      </c>
      <c r="F62" s="43">
        <f>E56</f>
        <v>12010000</v>
      </c>
      <c r="G62" s="5">
        <f aca="true" t="shared" si="36" ref="G62:L62">F56</f>
        <v>12330000</v>
      </c>
      <c r="H62" s="5">
        <f t="shared" si="36"/>
        <v>52317275.5589974</v>
      </c>
      <c r="I62" s="5">
        <f t="shared" si="36"/>
        <v>92831106.21253392</v>
      </c>
      <c r="J62" s="5">
        <f t="shared" si="36"/>
        <v>133954064.50344959</v>
      </c>
      <c r="K62" s="5">
        <f t="shared" si="36"/>
        <v>175772084.7551512</v>
      </c>
      <c r="L62" s="5">
        <f t="shared" si="36"/>
        <v>218374988.6544199</v>
      </c>
      <c r="M62" s="5">
        <f aca="true" t="shared" si="37" ref="M62:R62">L56</f>
        <v>261857046.78566778</v>
      </c>
      <c r="N62" s="5">
        <f t="shared" si="37"/>
        <v>306317581.83193475</v>
      </c>
      <c r="O62" s="5">
        <f t="shared" si="37"/>
        <v>351861619.69992316</v>
      </c>
      <c r="P62" s="5">
        <f t="shared" si="37"/>
        <v>398600595.45728534</v>
      </c>
      <c r="Q62" s="5">
        <f t="shared" si="37"/>
        <v>446653121.7008062</v>
      </c>
      <c r="R62" s="5">
        <f t="shared" si="37"/>
        <v>496145827.81645995</v>
      </c>
      <c r="S62" s="124"/>
    </row>
    <row r="63" spans="1:19" ht="12">
      <c r="A63" s="232" t="s">
        <v>215</v>
      </c>
      <c r="B63" s="43"/>
      <c r="C63" s="43">
        <f>C29</f>
        <v>39967000</v>
      </c>
      <c r="D63" s="43">
        <f>D29</f>
        <v>38202000</v>
      </c>
      <c r="E63" s="43">
        <f>E29</f>
        <v>39413000</v>
      </c>
      <c r="F63" s="43">
        <f>F29</f>
        <v>39560000</v>
      </c>
      <c r="G63" s="5">
        <f aca="true" t="shared" si="38" ref="G63:L63">G29</f>
        <v>39987275.5589974</v>
      </c>
      <c r="H63" s="5">
        <f t="shared" si="38"/>
        <v>40513830.65353651</v>
      </c>
      <c r="I63" s="5">
        <f t="shared" si="38"/>
        <v>41122958.29091566</v>
      </c>
      <c r="J63" s="5">
        <f t="shared" si="38"/>
        <v>41818020.25170161</v>
      </c>
      <c r="K63" s="5">
        <f t="shared" si="38"/>
        <v>42602903.8992687</v>
      </c>
      <c r="L63" s="5">
        <f t="shared" si="38"/>
        <v>43482058.131247886</v>
      </c>
      <c r="M63" s="5">
        <f aca="true" t="shared" si="39" ref="M63:R63">M29</f>
        <v>44460535.046266995</v>
      </c>
      <c r="N63" s="5">
        <f t="shared" si="39"/>
        <v>45544037.8679884</v>
      </c>
      <c r="O63" s="5">
        <f t="shared" si="39"/>
        <v>46738975.7573622</v>
      </c>
      <c r="P63" s="5">
        <f t="shared" si="39"/>
        <v>48052526.24352086</v>
      </c>
      <c r="Q63" s="5">
        <f t="shared" si="39"/>
        <v>49492706.11565374</v>
      </c>
      <c r="R63" s="5">
        <f t="shared" si="39"/>
        <v>50977487.29912336</v>
      </c>
      <c r="S63" s="124"/>
    </row>
    <row r="64" spans="1:19" ht="12">
      <c r="A64" s="232" t="s">
        <v>398</v>
      </c>
      <c r="B64" s="111">
        <f>-B116</f>
        <v>0</v>
      </c>
      <c r="C64" s="111">
        <f>-C116</f>
        <v>0</v>
      </c>
      <c r="D64" s="111">
        <f>-D116</f>
        <v>0</v>
      </c>
      <c r="E64" s="111">
        <f>-E116</f>
        <v>0</v>
      </c>
      <c r="F64" s="111">
        <f>-F116</f>
        <v>0</v>
      </c>
      <c r="G64" s="129">
        <f>-G29*'Forecasting Assumptions'!G49</f>
        <v>0</v>
      </c>
      <c r="H64" s="122">
        <f>-H29*'Forecasting Assumptions'!H49</f>
        <v>0</v>
      </c>
      <c r="I64" s="122">
        <f>-I29*'Forecasting Assumptions'!I49</f>
        <v>0</v>
      </c>
      <c r="J64" s="122">
        <f>-J29*'Forecasting Assumptions'!J49</f>
        <v>0</v>
      </c>
      <c r="K64" s="122">
        <f>-K29*'Forecasting Assumptions'!K49</f>
        <v>0</v>
      </c>
      <c r="L64" s="122">
        <f>-L29*'Forecasting Assumptions'!L49</f>
        <v>0</v>
      </c>
      <c r="M64" s="5">
        <f>-M29*'Forecasting Assumptions'!M49</f>
        <v>0</v>
      </c>
      <c r="N64" s="5">
        <f>-N29*'Forecasting Assumptions'!N49</f>
        <v>0</v>
      </c>
      <c r="O64" s="5">
        <f>-O29*'Forecasting Assumptions'!O49</f>
        <v>0</v>
      </c>
      <c r="P64" s="5">
        <f>-P29*'Forecasting Assumptions'!P49</f>
        <v>0</v>
      </c>
      <c r="Q64" s="5">
        <f>-Q29*'Forecasting Assumptions'!Q49</f>
        <v>0</v>
      </c>
      <c r="R64" s="5">
        <f>-R29*'Forecasting Assumptions'!R49</f>
        <v>0</v>
      </c>
      <c r="S64" s="124"/>
    </row>
    <row r="65" spans="1:19" ht="12">
      <c r="A65" s="232" t="s">
        <v>399</v>
      </c>
      <c r="B65" s="43"/>
      <c r="C65" s="43">
        <f>C66-C62-C63-C64</f>
        <v>-39287000</v>
      </c>
      <c r="D65" s="43">
        <f>D66-D62-D63-D64</f>
        <v>-37622000</v>
      </c>
      <c r="E65" s="43">
        <f>E66-E62-E63-E64</f>
        <v>-38863000</v>
      </c>
      <c r="F65" s="43">
        <f>F66-F62-F63-F64</f>
        <v>-39240000</v>
      </c>
      <c r="G65" s="133">
        <v>0</v>
      </c>
      <c r="H65" s="133">
        <v>0</v>
      </c>
      <c r="I65" s="133">
        <v>0</v>
      </c>
      <c r="J65" s="133">
        <v>0</v>
      </c>
      <c r="K65" s="133">
        <v>0</v>
      </c>
      <c r="L65" s="133">
        <v>0</v>
      </c>
      <c r="M65" s="133">
        <v>0</v>
      </c>
      <c r="N65" s="133">
        <v>0</v>
      </c>
      <c r="O65" s="133">
        <v>0</v>
      </c>
      <c r="P65" s="133">
        <v>0</v>
      </c>
      <c r="Q65" s="133">
        <v>0</v>
      </c>
      <c r="R65" s="133">
        <v>0</v>
      </c>
      <c r="S65" s="124"/>
    </row>
    <row r="66" spans="1:19" ht="13.5" customHeight="1" thickBot="1">
      <c r="A66" s="232" t="s">
        <v>402</v>
      </c>
      <c r="B66" s="55"/>
      <c r="C66" s="55">
        <f>C56</f>
        <v>10880000</v>
      </c>
      <c r="D66" s="55">
        <f>D56</f>
        <v>11460000</v>
      </c>
      <c r="E66" s="55">
        <f>E56</f>
        <v>12010000</v>
      </c>
      <c r="F66" s="55">
        <f>F56</f>
        <v>12330000</v>
      </c>
      <c r="G66" s="134">
        <f>G62+G63+G64+G65</f>
        <v>52317275.5589974</v>
      </c>
      <c r="H66" s="134">
        <f aca="true" t="shared" si="40" ref="H66:Q66">H62+H63+H64+H65</f>
        <v>92831106.21253392</v>
      </c>
      <c r="I66" s="134">
        <f t="shared" si="40"/>
        <v>133954064.50344959</v>
      </c>
      <c r="J66" s="134">
        <f t="shared" si="40"/>
        <v>175772084.7551512</v>
      </c>
      <c r="K66" s="134">
        <f t="shared" si="40"/>
        <v>218374988.6544199</v>
      </c>
      <c r="L66" s="134">
        <f t="shared" si="40"/>
        <v>261857046.78566778</v>
      </c>
      <c r="M66" s="134">
        <f t="shared" si="40"/>
        <v>306317581.83193475</v>
      </c>
      <c r="N66" s="134">
        <f t="shared" si="40"/>
        <v>351861619.69992316</v>
      </c>
      <c r="O66" s="134">
        <f t="shared" si="40"/>
        <v>398600595.45728534</v>
      </c>
      <c r="P66" s="134">
        <f t="shared" si="40"/>
        <v>446653121.7008062</v>
      </c>
      <c r="Q66" s="134">
        <f t="shared" si="40"/>
        <v>496145827.81645995</v>
      </c>
      <c r="R66" s="134">
        <f>R62+R63+R64+R65</f>
        <v>547123315.1155833</v>
      </c>
      <c r="S66" s="124"/>
    </row>
    <row r="67" spans="1:19" ht="12.75" thickTop="1">
      <c r="A67" s="77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</row>
    <row r="69" ht="12">
      <c r="A69" s="6" t="s">
        <v>139</v>
      </c>
    </row>
    <row r="70" ht="12">
      <c r="A70" s="6"/>
    </row>
    <row r="71" spans="1:18" ht="12">
      <c r="A71" s="7" t="s">
        <v>249</v>
      </c>
      <c r="B71" s="43">
        <f aca="true" t="shared" si="41" ref="B71:R71">B73-B72</f>
        <v>27602297.270489696</v>
      </c>
      <c r="C71" s="43">
        <f t="shared" si="41"/>
        <v>39633197.62896019</v>
      </c>
      <c r="D71" s="43">
        <f t="shared" si="41"/>
        <v>37859381.16591928</v>
      </c>
      <c r="E71" s="43">
        <f t="shared" si="41"/>
        <v>39063728.59674809</v>
      </c>
      <c r="F71" s="43">
        <f t="shared" si="41"/>
        <v>39224745.76271187</v>
      </c>
      <c r="G71" s="5">
        <f t="shared" si="41"/>
        <v>39652009.514994726</v>
      </c>
      <c r="H71" s="5">
        <f t="shared" si="41"/>
        <v>40174451.102202386</v>
      </c>
      <c r="I71" s="5">
        <f t="shared" si="41"/>
        <v>40778780.87059233</v>
      </c>
      <c r="J71" s="5">
        <f t="shared" si="41"/>
        <v>41468334.28171297</v>
      </c>
      <c r="K71" s="5">
        <f t="shared" si="41"/>
        <v>42246968.07480934</v>
      </c>
      <c r="L71" s="5">
        <f t="shared" si="41"/>
        <v>43119095.936659686</v>
      </c>
      <c r="M71" s="5">
        <f t="shared" si="41"/>
        <v>44089729.84041329</v>
      </c>
      <c r="N71" s="5">
        <f t="shared" si="41"/>
        <v>45164527.59119313</v>
      </c>
      <c r="O71" s="5">
        <f t="shared" si="41"/>
        <v>46349847.204426296</v>
      </c>
      <c r="P71" s="5">
        <f t="shared" si="41"/>
        <v>47652808.84157711</v>
      </c>
      <c r="Q71" s="5">
        <f t="shared" si="41"/>
        <v>49081365.13897802</v>
      </c>
      <c r="R71" s="5">
        <f t="shared" si="41"/>
        <v>50553806.093147375</v>
      </c>
    </row>
    <row r="72" spans="1:18" ht="12">
      <c r="A72" s="51" t="s">
        <v>231</v>
      </c>
      <c r="B72" s="43">
        <f aca="true" t="shared" si="42" ref="B72:R72">B20*(1-B74)+B28+B27</f>
        <v>310702.7295103046</v>
      </c>
      <c r="C72" s="43">
        <f t="shared" si="42"/>
        <v>333802.371039805</v>
      </c>
      <c r="D72" s="43">
        <f t="shared" si="42"/>
        <v>342618.8340807175</v>
      </c>
      <c r="E72" s="43">
        <f t="shared" si="42"/>
        <v>349271.4032519072</v>
      </c>
      <c r="F72" s="43">
        <f t="shared" si="42"/>
        <v>335254.2372881356</v>
      </c>
      <c r="G72" s="5">
        <f t="shared" si="42"/>
        <v>335266.044002672</v>
      </c>
      <c r="H72" s="5">
        <f t="shared" si="42"/>
        <v>339379.55133412516</v>
      </c>
      <c r="I72" s="5">
        <f t="shared" si="42"/>
        <v>344177.42032332794</v>
      </c>
      <c r="J72" s="5">
        <f t="shared" si="42"/>
        <v>349685.9699886379</v>
      </c>
      <c r="K72" s="5">
        <f t="shared" si="42"/>
        <v>355935.8244593587</v>
      </c>
      <c r="L72" s="5">
        <f t="shared" si="42"/>
        <v>362962.1945881992</v>
      </c>
      <c r="M72" s="5">
        <f t="shared" si="42"/>
        <v>370805.20585371077</v>
      </c>
      <c r="N72" s="5">
        <f t="shared" si="42"/>
        <v>379510.27679527085</v>
      </c>
      <c r="O72" s="5">
        <f t="shared" si="42"/>
        <v>389128.5529359032</v>
      </c>
      <c r="P72" s="5">
        <f t="shared" si="42"/>
        <v>399717.4019437521</v>
      </c>
      <c r="Q72" s="5">
        <f t="shared" si="42"/>
        <v>411340.9766757183</v>
      </c>
      <c r="R72" s="5">
        <f t="shared" si="42"/>
        <v>423681.2059759899</v>
      </c>
    </row>
    <row r="73" spans="1:18" ht="12">
      <c r="A73" s="51" t="s">
        <v>232</v>
      </c>
      <c r="B73" s="43">
        <f>B29</f>
        <v>27913000</v>
      </c>
      <c r="C73" s="43">
        <f aca="true" t="shared" si="43" ref="C73:R73">C29</f>
        <v>39967000</v>
      </c>
      <c r="D73" s="43">
        <f t="shared" si="43"/>
        <v>38202000</v>
      </c>
      <c r="E73" s="43">
        <f t="shared" si="43"/>
        <v>39413000</v>
      </c>
      <c r="F73" s="43">
        <f t="shared" si="43"/>
        <v>39560000</v>
      </c>
      <c r="G73" s="5">
        <f t="shared" si="43"/>
        <v>39987275.5589974</v>
      </c>
      <c r="H73" s="5">
        <f t="shared" si="43"/>
        <v>40513830.65353651</v>
      </c>
      <c r="I73" s="5">
        <f t="shared" si="43"/>
        <v>41122958.29091566</v>
      </c>
      <c r="J73" s="5">
        <f t="shared" si="43"/>
        <v>41818020.25170161</v>
      </c>
      <c r="K73" s="5">
        <f t="shared" si="43"/>
        <v>42602903.8992687</v>
      </c>
      <c r="L73" s="5">
        <f t="shared" si="43"/>
        <v>43482058.131247886</v>
      </c>
      <c r="M73" s="5">
        <f t="shared" si="43"/>
        <v>44460535.046266995</v>
      </c>
      <c r="N73" s="5">
        <f t="shared" si="43"/>
        <v>45544037.8679884</v>
      </c>
      <c r="O73" s="5">
        <f t="shared" si="43"/>
        <v>46738975.7573622</v>
      </c>
      <c r="P73" s="5">
        <f t="shared" si="43"/>
        <v>48052526.24352086</v>
      </c>
      <c r="Q73" s="5">
        <f t="shared" si="43"/>
        <v>49492706.11565374</v>
      </c>
      <c r="R73" s="5">
        <f t="shared" si="43"/>
        <v>50977487.29912336</v>
      </c>
    </row>
    <row r="74" spans="1:18" ht="12">
      <c r="A74" s="51" t="s">
        <v>271</v>
      </c>
      <c r="B74" s="233">
        <f>-B23/B22</f>
        <v>-0.025421549538958893</v>
      </c>
      <c r="C74" s="233">
        <f aca="true" t="shared" si="44" ref="C74:R74">-C23/C22</f>
        <v>-0.014596872461413484</v>
      </c>
      <c r="D74" s="233">
        <f t="shared" si="44"/>
        <v>-0.013665189587921565</v>
      </c>
      <c r="E74" s="233">
        <f t="shared" si="44"/>
        <v>-0.012380878991035422</v>
      </c>
      <c r="F74" s="233">
        <f t="shared" si="44"/>
        <v>-0.009801919542577088</v>
      </c>
      <c r="G74" s="236">
        <f t="shared" si="44"/>
        <v>-0.009801919542577088</v>
      </c>
      <c r="H74" s="236">
        <f t="shared" si="44"/>
        <v>-0.009801919542577088</v>
      </c>
      <c r="I74" s="236">
        <f t="shared" si="44"/>
        <v>-0.009801919542577088</v>
      </c>
      <c r="J74" s="236">
        <f t="shared" si="44"/>
        <v>-0.009801919542577088</v>
      </c>
      <c r="K74" s="236">
        <f t="shared" si="44"/>
        <v>-0.009801919542577088</v>
      </c>
      <c r="L74" s="236">
        <f t="shared" si="44"/>
        <v>-0.009801919542577088</v>
      </c>
      <c r="M74" s="236">
        <f t="shared" si="44"/>
        <v>-0.009801919542577088</v>
      </c>
      <c r="N74" s="236">
        <f t="shared" si="44"/>
        <v>-0.009801919542577088</v>
      </c>
      <c r="O74" s="236">
        <f t="shared" si="44"/>
        <v>-0.009801919542577088</v>
      </c>
      <c r="P74" s="236">
        <f t="shared" si="44"/>
        <v>-0.009801919542577088</v>
      </c>
      <c r="Q74" s="236">
        <f t="shared" si="44"/>
        <v>-0.009801919542577088</v>
      </c>
      <c r="R74" s="236">
        <f t="shared" si="44"/>
        <v>-0.009801919542577088</v>
      </c>
    </row>
    <row r="75" spans="1:18" ht="12">
      <c r="A75" s="51" t="s">
        <v>233</v>
      </c>
      <c r="B75" s="43">
        <f aca="true" t="shared" si="45" ref="B75:R75">B77+B76</f>
        <v>20954000</v>
      </c>
      <c r="C75" s="43">
        <f t="shared" si="45"/>
        <v>21485000</v>
      </c>
      <c r="D75" s="43">
        <f t="shared" si="45"/>
        <v>22299000</v>
      </c>
      <c r="E75" s="43">
        <f t="shared" si="45"/>
        <v>76670000</v>
      </c>
      <c r="F75" s="43">
        <f t="shared" si="45"/>
        <v>22527000</v>
      </c>
      <c r="G75" s="5">
        <f t="shared" si="45"/>
        <v>10315572.698594779</v>
      </c>
      <c r="H75" s="5">
        <f t="shared" si="45"/>
        <v>10451713.408542968</v>
      </c>
      <c r="I75" s="5">
        <f t="shared" si="45"/>
        <v>10609163.51045027</v>
      </c>
      <c r="J75" s="5">
        <f t="shared" si="45"/>
        <v>10788792.134957578</v>
      </c>
      <c r="K75" s="5">
        <f t="shared" si="45"/>
        <v>10991604.100672077</v>
      </c>
      <c r="L75" s="5">
        <f t="shared" si="45"/>
        <v>11218749.208642948</v>
      </c>
      <c r="M75" s="5">
        <f t="shared" si="45"/>
        <v>11471533.012865225</v>
      </c>
      <c r="N75" s="5">
        <f t="shared" si="45"/>
        <v>11751429.206938801</v>
      </c>
      <c r="O75" s="5">
        <f t="shared" si="45"/>
        <v>12060093.789979678</v>
      </c>
      <c r="P75" s="5">
        <f t="shared" si="45"/>
        <v>12399381.20058966</v>
      </c>
      <c r="Q75" s="5">
        <f t="shared" si="45"/>
        <v>12771362.63660735</v>
      </c>
      <c r="R75" s="5">
        <f t="shared" si="45"/>
        <v>13154503.51570557</v>
      </c>
    </row>
    <row r="76" spans="1:18" ht="12">
      <c r="A76" s="51" t="s">
        <v>133</v>
      </c>
      <c r="B76" s="43">
        <f aca="true" t="shared" si="46" ref="B76:R76">B44+B49+B54+B53</f>
        <v>4244000</v>
      </c>
      <c r="C76" s="43">
        <f t="shared" si="46"/>
        <v>4555000</v>
      </c>
      <c r="D76" s="43">
        <f t="shared" si="46"/>
        <v>4859000</v>
      </c>
      <c r="E76" s="43">
        <f t="shared" si="46"/>
        <v>4760000</v>
      </c>
      <c r="F76" s="43">
        <f t="shared" si="46"/>
        <v>4707000</v>
      </c>
      <c r="G76" s="5">
        <f t="shared" si="46"/>
        <v>4760333.401204472</v>
      </c>
      <c r="H76" s="5">
        <f t="shared" si="46"/>
        <v>4823158.334707034</v>
      </c>
      <c r="I76" s="5">
        <f t="shared" si="46"/>
        <v>4895816.925851905</v>
      </c>
      <c r="J76" s="5">
        <f t="shared" si="46"/>
        <v>4978710.252867187</v>
      </c>
      <c r="K76" s="5">
        <f t="shared" si="46"/>
        <v>5072302.009986615</v>
      </c>
      <c r="L76" s="5">
        <f t="shared" si="46"/>
        <v>5177122.796576702</v>
      </c>
      <c r="M76" s="5">
        <f t="shared" si="46"/>
        <v>5293775.087407511</v>
      </c>
      <c r="N76" s="5">
        <f t="shared" si="46"/>
        <v>5422938.948731465</v>
      </c>
      <c r="O76" s="5">
        <f t="shared" si="46"/>
        <v>5565378.575434739</v>
      </c>
      <c r="P76" s="5">
        <f t="shared" si="46"/>
        <v>5721949.736389757</v>
      </c>
      <c r="Q76" s="5">
        <f t="shared" si="46"/>
        <v>5893608.228481451</v>
      </c>
      <c r="R76" s="5">
        <f t="shared" si="46"/>
        <v>6070416.475335893</v>
      </c>
    </row>
    <row r="77" spans="1:18" ht="12">
      <c r="A77" s="51" t="s">
        <v>236</v>
      </c>
      <c r="B77" s="43">
        <f>B57</f>
        <v>16710000</v>
      </c>
      <c r="C77" s="43">
        <f aca="true" t="shared" si="47" ref="C77:R77">C57</f>
        <v>16930000</v>
      </c>
      <c r="D77" s="43">
        <f t="shared" si="47"/>
        <v>17440000</v>
      </c>
      <c r="E77" s="43">
        <f t="shared" si="47"/>
        <v>71910000</v>
      </c>
      <c r="F77" s="43">
        <f t="shared" si="47"/>
        <v>17820000</v>
      </c>
      <c r="G77" s="5">
        <f t="shared" si="47"/>
        <v>5555239.297390306</v>
      </c>
      <c r="H77" s="5">
        <f t="shared" si="47"/>
        <v>5628555.073835934</v>
      </c>
      <c r="I77" s="5">
        <f t="shared" si="47"/>
        <v>5713346.584598366</v>
      </c>
      <c r="J77" s="5">
        <f t="shared" si="47"/>
        <v>5810081.88209039</v>
      </c>
      <c r="K77" s="5">
        <f t="shared" si="47"/>
        <v>5919302.090685463</v>
      </c>
      <c r="L77" s="5">
        <f t="shared" si="47"/>
        <v>6041626.412066247</v>
      </c>
      <c r="M77" s="5">
        <f t="shared" si="47"/>
        <v>6177757.925457714</v>
      </c>
      <c r="N77" s="5">
        <f t="shared" si="47"/>
        <v>6328490.258207336</v>
      </c>
      <c r="O77" s="5">
        <f t="shared" si="47"/>
        <v>6494715.214544939</v>
      </c>
      <c r="P77" s="5">
        <f t="shared" si="47"/>
        <v>6677431.464199904</v>
      </c>
      <c r="Q77" s="5">
        <f t="shared" si="47"/>
        <v>6877754.4081259</v>
      </c>
      <c r="R77" s="5">
        <f t="shared" si="47"/>
        <v>7084087.040369676</v>
      </c>
    </row>
    <row r="78" spans="1:2" ht="12">
      <c r="A78" s="213"/>
      <c r="B78" s="213"/>
    </row>
    <row r="80" spans="1:2" ht="12">
      <c r="A80" s="6" t="s">
        <v>235</v>
      </c>
      <c r="B80" s="6" t="s">
        <v>115</v>
      </c>
    </row>
    <row r="82" spans="1:9" ht="13.5">
      <c r="A82" s="7" t="s">
        <v>155</v>
      </c>
      <c r="B82" s="264" t="s">
        <v>437</v>
      </c>
      <c r="C82" s="264"/>
      <c r="D82" s="264" t="s">
        <v>81</v>
      </c>
      <c r="E82" s="264"/>
      <c r="F82" s="264"/>
      <c r="G82" s="290" t="s">
        <v>48</v>
      </c>
      <c r="H82" s="291"/>
      <c r="I82" s="291"/>
    </row>
    <row r="83" spans="1:9" ht="13.5">
      <c r="A83" s="7" t="s">
        <v>243</v>
      </c>
      <c r="B83" s="265">
        <v>7154</v>
      </c>
      <c r="C83" s="264"/>
      <c r="D83" s="264"/>
      <c r="E83" s="264"/>
      <c r="F83" s="264"/>
      <c r="G83" s="290"/>
      <c r="H83" s="291"/>
      <c r="I83" s="291"/>
    </row>
    <row r="84" spans="1:9" ht="15" thickBot="1">
      <c r="A84" s="229" t="s">
        <v>49</v>
      </c>
      <c r="B84" s="266">
        <v>39447</v>
      </c>
      <c r="C84" s="266">
        <v>39813</v>
      </c>
      <c r="D84" s="266">
        <v>40178</v>
      </c>
      <c r="E84" s="266">
        <v>40543</v>
      </c>
      <c r="F84" s="266">
        <v>40908</v>
      </c>
      <c r="G84" s="290"/>
      <c r="H84" s="291"/>
      <c r="I84" s="291"/>
    </row>
    <row r="85" spans="1:9" ht="15" thickBot="1">
      <c r="A85" s="7" t="s">
        <v>379</v>
      </c>
      <c r="B85" s="268">
        <v>18800000</v>
      </c>
      <c r="C85" s="270">
        <v>19280000</v>
      </c>
      <c r="D85" s="271">
        <v>19030000</v>
      </c>
      <c r="E85" s="271">
        <v>19020000</v>
      </c>
      <c r="F85" s="271">
        <v>19200000</v>
      </c>
      <c r="G85" s="290"/>
      <c r="H85" s="292"/>
      <c r="I85" s="292"/>
    </row>
    <row r="86" spans="1:7" ht="13.5" thickBot="1">
      <c r="A86" s="7" t="s">
        <v>413</v>
      </c>
      <c r="B86" s="272">
        <v>1240000</v>
      </c>
      <c r="C86" s="272">
        <v>13120000</v>
      </c>
      <c r="D86" s="272">
        <v>12980000</v>
      </c>
      <c r="E86" s="272">
        <v>12980000</v>
      </c>
      <c r="F86" s="272">
        <v>13200000</v>
      </c>
      <c r="G86" s="269"/>
    </row>
    <row r="87" spans="1:6" ht="15" thickBot="1">
      <c r="A87" s="7" t="s">
        <v>414</v>
      </c>
      <c r="B87" s="273">
        <v>0</v>
      </c>
      <c r="C87" s="273">
        <v>0</v>
      </c>
      <c r="D87" s="273">
        <v>0</v>
      </c>
      <c r="E87" s="273">
        <v>0</v>
      </c>
      <c r="F87" s="273">
        <v>0</v>
      </c>
    </row>
    <row r="88" spans="1:6" ht="13.5" thickBot="1">
      <c r="A88" s="7" t="s">
        <v>381</v>
      </c>
      <c r="B88" s="272">
        <v>4240000</v>
      </c>
      <c r="C88" s="272">
        <v>4270000</v>
      </c>
      <c r="D88" s="272">
        <v>4310000</v>
      </c>
      <c r="E88" s="272">
        <v>4350000</v>
      </c>
      <c r="F88" s="272">
        <v>4450000</v>
      </c>
    </row>
    <row r="89" spans="1:6" ht="13.5" thickBot="1">
      <c r="A89" s="7" t="s">
        <v>422</v>
      </c>
      <c r="B89" s="272">
        <v>778000</v>
      </c>
      <c r="C89" s="272">
        <v>833000</v>
      </c>
      <c r="D89" s="272">
        <v>889000</v>
      </c>
      <c r="E89" s="272">
        <v>886000</v>
      </c>
      <c r="F89" s="272">
        <v>934000</v>
      </c>
    </row>
    <row r="90" spans="1:7" ht="13.5" thickBot="1">
      <c r="A90" s="7" t="s">
        <v>423</v>
      </c>
      <c r="B90" s="272">
        <v>303000</v>
      </c>
      <c r="C90" s="272">
        <v>329000</v>
      </c>
      <c r="D90" s="272">
        <v>338000</v>
      </c>
      <c r="E90" s="272">
        <v>345000</v>
      </c>
      <c r="F90" s="272">
        <v>332000</v>
      </c>
      <c r="G90" s="269"/>
    </row>
    <row r="91" spans="1:6" ht="12.75" thickBot="1">
      <c r="A91" s="7" t="s">
        <v>424</v>
      </c>
      <c r="B91" s="270">
        <v>1860000</v>
      </c>
      <c r="C91" s="271">
        <v>1560000</v>
      </c>
      <c r="D91" s="271">
        <v>140000</v>
      </c>
      <c r="E91" s="271">
        <v>1350000</v>
      </c>
      <c r="F91" s="271">
        <v>1060000</v>
      </c>
    </row>
    <row r="92" spans="1:6" ht="12.75" thickBot="1">
      <c r="A92" s="7" t="s">
        <v>425</v>
      </c>
      <c r="B92" s="270">
        <v>692000</v>
      </c>
      <c r="C92" s="271">
        <v>575000</v>
      </c>
      <c r="D92" s="271">
        <v>515000</v>
      </c>
      <c r="E92" s="271">
        <v>482000</v>
      </c>
      <c r="F92" s="271">
        <v>384000</v>
      </c>
    </row>
    <row r="93" spans="1:6" ht="13.5">
      <c r="A93" s="7" t="s">
        <v>321</v>
      </c>
      <c r="B93" s="267">
        <v>0</v>
      </c>
      <c r="C93" s="267">
        <v>0</v>
      </c>
      <c r="D93" s="267">
        <v>0</v>
      </c>
      <c r="E93" s="267">
        <v>0</v>
      </c>
      <c r="F93" s="273">
        <v>0</v>
      </c>
    </row>
    <row r="94" spans="1:6" ht="13.5">
      <c r="A94" s="7" t="s">
        <v>322</v>
      </c>
      <c r="B94" s="267">
        <v>0</v>
      </c>
      <c r="C94" s="267">
        <v>0</v>
      </c>
      <c r="D94" s="267">
        <v>0</v>
      </c>
      <c r="E94" s="267">
        <v>0</v>
      </c>
      <c r="F94" s="267">
        <v>0</v>
      </c>
    </row>
    <row r="95" spans="1:6" ht="13.5">
      <c r="A95" s="7" t="s">
        <v>344</v>
      </c>
      <c r="B95" s="267">
        <v>0</v>
      </c>
      <c r="C95" s="267">
        <v>0</v>
      </c>
      <c r="D95" s="267">
        <v>0</v>
      </c>
      <c r="E95" s="267">
        <v>0</v>
      </c>
      <c r="F95" s="267">
        <v>0</v>
      </c>
    </row>
    <row r="96" spans="1:6" ht="15" thickBot="1">
      <c r="A96" s="7" t="s">
        <v>345</v>
      </c>
      <c r="B96" s="267">
        <v>0</v>
      </c>
      <c r="C96" s="267">
        <v>0</v>
      </c>
      <c r="D96" s="267">
        <v>0</v>
      </c>
      <c r="E96" s="267">
        <v>0</v>
      </c>
      <c r="F96" s="267">
        <v>0</v>
      </c>
    </row>
    <row r="97" spans="1:6" ht="12.75" thickBot="1">
      <c r="A97" s="7" t="s">
        <v>346</v>
      </c>
      <c r="B97" s="270">
        <v>1210000</v>
      </c>
      <c r="C97" s="271">
        <v>537000</v>
      </c>
      <c r="D97" s="271">
        <v>971000</v>
      </c>
      <c r="E97" s="271">
        <v>1410000</v>
      </c>
      <c r="F97" s="271">
        <v>707000</v>
      </c>
    </row>
    <row r="98" spans="1:6" ht="15" thickBot="1">
      <c r="A98" s="7" t="s">
        <v>140</v>
      </c>
      <c r="B98" s="273">
        <v>0</v>
      </c>
      <c r="C98" s="273">
        <v>0</v>
      </c>
      <c r="D98" s="273">
        <v>0</v>
      </c>
      <c r="E98" s="274">
        <v>25000</v>
      </c>
      <c r="F98" s="274">
        <v>26000</v>
      </c>
    </row>
    <row r="99" spans="1:6" ht="12.75" thickBot="1">
      <c r="A99" s="7" t="s">
        <v>141</v>
      </c>
      <c r="B99" s="270">
        <v>320000</v>
      </c>
      <c r="C99" s="271">
        <v>3750000</v>
      </c>
      <c r="D99" s="271">
        <v>3870000</v>
      </c>
      <c r="E99" s="271">
        <v>3810000</v>
      </c>
      <c r="F99" s="271">
        <v>4040000</v>
      </c>
    </row>
    <row r="100" spans="1:6" ht="12.75" thickBot="1">
      <c r="A100" s="7" t="s">
        <v>142</v>
      </c>
      <c r="B100" s="270">
        <v>371000</v>
      </c>
      <c r="C100" s="271">
        <v>434000</v>
      </c>
      <c r="D100" s="271">
        <v>447000</v>
      </c>
      <c r="E100" s="271">
        <v>452000</v>
      </c>
      <c r="F100" s="271">
        <v>305000</v>
      </c>
    </row>
    <row r="101" spans="1:6" ht="12.75" thickBot="1">
      <c r="A101" s="7" t="s">
        <v>134</v>
      </c>
      <c r="B101" s="270">
        <v>8910000</v>
      </c>
      <c r="C101" s="271">
        <v>8870000</v>
      </c>
      <c r="D101" s="271">
        <v>8750000</v>
      </c>
      <c r="E101" s="271">
        <v>8520000</v>
      </c>
      <c r="F101" s="271">
        <v>8310000</v>
      </c>
    </row>
    <row r="102" spans="1:6" ht="15" thickBot="1">
      <c r="A102" s="7" t="s">
        <v>135</v>
      </c>
      <c r="B102" s="270">
        <v>153000</v>
      </c>
      <c r="C102" s="271">
        <v>53000</v>
      </c>
      <c r="D102" s="271">
        <v>64000</v>
      </c>
      <c r="E102" s="273">
        <v>0</v>
      </c>
      <c r="F102" s="273">
        <v>0</v>
      </c>
    </row>
    <row r="103" spans="1:6" ht="15" thickBot="1">
      <c r="A103" s="7" t="s">
        <v>136</v>
      </c>
      <c r="B103" s="273">
        <v>0</v>
      </c>
      <c r="C103" s="273">
        <v>0</v>
      </c>
      <c r="D103" s="273">
        <v>0</v>
      </c>
      <c r="E103" s="273">
        <v>0</v>
      </c>
      <c r="F103" s="273">
        <v>0</v>
      </c>
    </row>
    <row r="104" spans="1:6" ht="12.75" thickBot="1">
      <c r="A104" s="7" t="s">
        <v>333</v>
      </c>
      <c r="B104" s="270">
        <v>261000</v>
      </c>
      <c r="C104" s="271">
        <v>261000</v>
      </c>
      <c r="D104" s="271">
        <v>277000</v>
      </c>
      <c r="E104" s="271">
        <v>218000</v>
      </c>
      <c r="F104" s="271">
        <v>222000</v>
      </c>
    </row>
    <row r="105" spans="1:6" ht="12.75" thickBot="1">
      <c r="A105" s="7" t="s">
        <v>334</v>
      </c>
      <c r="B105" s="270">
        <v>94000</v>
      </c>
      <c r="C105" s="271">
        <v>105000</v>
      </c>
      <c r="D105" s="271">
        <v>139000</v>
      </c>
      <c r="E105" s="271">
        <v>110000</v>
      </c>
      <c r="F105" s="271">
        <v>127000</v>
      </c>
    </row>
    <row r="106" spans="1:6" ht="12.75" thickBot="1">
      <c r="A106" s="7" t="s">
        <v>335</v>
      </c>
      <c r="B106" s="270">
        <v>1230000</v>
      </c>
      <c r="C106" s="271">
        <v>1310000</v>
      </c>
      <c r="D106" s="271">
        <v>1370000</v>
      </c>
      <c r="E106" s="271">
        <v>1510000</v>
      </c>
      <c r="F106" s="271">
        <v>1250000</v>
      </c>
    </row>
    <row r="107" spans="1:6" ht="12.75" thickBot="1">
      <c r="A107" s="7" t="s">
        <v>172</v>
      </c>
      <c r="B107" s="270">
        <v>133000</v>
      </c>
      <c r="C107" s="271">
        <v>290000</v>
      </c>
      <c r="D107" s="271">
        <v>94000</v>
      </c>
      <c r="E107" s="271">
        <v>78000</v>
      </c>
      <c r="F107" s="271">
        <v>130000</v>
      </c>
    </row>
    <row r="108" spans="1:6" ht="12.75" thickBot="1">
      <c r="A108" s="7" t="s">
        <v>293</v>
      </c>
      <c r="B108" s="270">
        <v>1130000</v>
      </c>
      <c r="C108" s="271">
        <v>833000</v>
      </c>
      <c r="D108" s="271">
        <v>1140000</v>
      </c>
      <c r="E108" s="271">
        <v>11600000</v>
      </c>
      <c r="F108" s="271">
        <v>1210000</v>
      </c>
    </row>
    <row r="109" spans="1:6" ht="12.75" thickBot="1">
      <c r="A109" s="7" t="s">
        <v>373</v>
      </c>
      <c r="B109" s="270">
        <v>4150000</v>
      </c>
      <c r="C109" s="271">
        <v>4450000</v>
      </c>
      <c r="D109" s="271">
        <v>4720000</v>
      </c>
      <c r="E109" s="271">
        <v>4650000</v>
      </c>
      <c r="F109" s="271">
        <v>4580000</v>
      </c>
    </row>
    <row r="110" spans="1:6" ht="12.75" thickBot="1">
      <c r="A110" s="7" t="s">
        <v>288</v>
      </c>
      <c r="B110" s="270">
        <v>460000</v>
      </c>
      <c r="C110" s="271">
        <v>512000</v>
      </c>
      <c r="D110" s="271">
        <v>560000</v>
      </c>
      <c r="E110" s="271">
        <v>562000</v>
      </c>
      <c r="F110" s="271">
        <v>563000</v>
      </c>
    </row>
    <row r="111" spans="1:6" ht="12.75" thickBot="1">
      <c r="A111" s="7" t="s">
        <v>289</v>
      </c>
      <c r="B111" s="270">
        <v>386000</v>
      </c>
      <c r="C111" s="271">
        <v>362000</v>
      </c>
      <c r="D111" s="271">
        <v>382000</v>
      </c>
      <c r="E111" s="271">
        <v>368000</v>
      </c>
      <c r="F111" s="271">
        <v>257000</v>
      </c>
    </row>
    <row r="112" spans="1:6" ht="13.5">
      <c r="A112" s="7" t="s">
        <v>290</v>
      </c>
      <c r="B112" s="267">
        <v>0</v>
      </c>
      <c r="C112" s="267">
        <v>0</v>
      </c>
      <c r="D112" s="267">
        <v>0</v>
      </c>
      <c r="E112" s="267">
        <v>0</v>
      </c>
      <c r="F112" s="267">
        <v>0</v>
      </c>
    </row>
    <row r="113" spans="1:6" ht="15" thickBot="1">
      <c r="A113" s="7" t="s">
        <v>30</v>
      </c>
      <c r="B113" s="267">
        <v>0</v>
      </c>
      <c r="C113" s="267">
        <v>0</v>
      </c>
      <c r="D113" s="267">
        <v>0</v>
      </c>
      <c r="E113" s="267">
        <v>0</v>
      </c>
      <c r="F113" s="267">
        <v>0</v>
      </c>
    </row>
    <row r="114" spans="1:6" ht="12.75" thickBot="1">
      <c r="A114" s="7" t="s">
        <v>106</v>
      </c>
      <c r="B114" s="270">
        <v>6510000</v>
      </c>
      <c r="C114" s="271">
        <v>6050000</v>
      </c>
      <c r="D114" s="271">
        <v>5980000</v>
      </c>
      <c r="E114" s="271">
        <v>59900000</v>
      </c>
      <c r="F114" s="271">
        <v>5490000</v>
      </c>
    </row>
    <row r="115" spans="1:6" ht="12.75" thickBot="1">
      <c r="A115" s="7" t="s">
        <v>107</v>
      </c>
      <c r="B115" s="270">
        <v>10200000</v>
      </c>
      <c r="C115" s="271">
        <v>10880000</v>
      </c>
      <c r="D115" s="271">
        <v>11460000</v>
      </c>
      <c r="E115" s="271">
        <v>12010000</v>
      </c>
      <c r="F115" s="271">
        <v>12330000</v>
      </c>
    </row>
    <row r="116" spans="1:6" ht="13.5">
      <c r="A116" s="7" t="s">
        <v>31</v>
      </c>
      <c r="B116" s="273">
        <v>0</v>
      </c>
      <c r="C116" s="273">
        <v>0</v>
      </c>
      <c r="D116" s="273">
        <v>0</v>
      </c>
      <c r="E116" s="273">
        <v>0</v>
      </c>
      <c r="F116" s="273">
        <v>0</v>
      </c>
    </row>
    <row r="117" spans="2:6" ht="12">
      <c r="B117" s="275"/>
      <c r="C117" s="275"/>
      <c r="D117" s="275"/>
      <c r="E117" s="275"/>
      <c r="F117" s="275"/>
    </row>
  </sheetData>
  <sheetProtection/>
  <mergeCells count="3">
    <mergeCell ref="B4:C4"/>
    <mergeCell ref="C1:F2"/>
    <mergeCell ref="G82:I85"/>
  </mergeCells>
  <hyperlinks>
    <hyperlink ref="C3" location="A100" display="Jump to Raw Data Input"/>
  </hyperlinks>
  <printOptions/>
  <pageMargins left="0.75" right="0.75" top="1" bottom="1" header="0.5" footer="0.5"/>
  <pageSetup fitToHeight="1" fitToWidth="1" orientation="portrait"/>
  <ignoredErrors>
    <ignoredError sqref="B5 F34:F36 B60:B63 B15:F16 B18:F18 B21:E21 F28 B24:F24 B31:B32 B38:F41 B43:F47 B54:F56 C61 D60:F61 C30:F32 B33:E36 B8:F13 C4:D4 B49:F51 B23:F23 F26 B20:E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zoomScale="125" zoomScaleNormal="125" workbookViewId="0" topLeftCell="A1">
      <pane xSplit="1" ySplit="7" topLeftCell="B8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H1" sqref="H1"/>
    </sheetView>
  </sheetViews>
  <sheetFormatPr defaultColWidth="8.8515625" defaultRowHeight="12.75"/>
  <cols>
    <col min="1" max="1" width="29.421875" style="0" customWidth="1"/>
    <col min="2" max="18" width="10.7109375" style="0" customWidth="1"/>
  </cols>
  <sheetData>
    <row r="1" spans="1:18" s="59" customFormat="1" ht="16.5">
      <c r="A1" s="175" t="s">
        <v>34</v>
      </c>
      <c r="B1" s="176"/>
      <c r="C1" s="176"/>
      <c r="D1" s="176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</row>
    <row r="2" spans="1:18" ht="18" customHeight="1">
      <c r="A2" s="178"/>
      <c r="B2" s="178"/>
      <c r="C2" s="178"/>
      <c r="D2" s="178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3" spans="1:18" ht="12.75" customHeight="1">
      <c r="A3" s="166" t="s">
        <v>169</v>
      </c>
      <c r="B3" s="166"/>
      <c r="C3" s="166"/>
      <c r="D3" s="166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</row>
    <row r="4" spans="1:12" ht="12">
      <c r="A4" s="1" t="s">
        <v>310</v>
      </c>
      <c r="B4" s="13" t="str">
        <f>'Financial Statements'!B4</f>
        <v>KOHL'S  </v>
      </c>
      <c r="C4" s="1"/>
      <c r="D4" s="1"/>
      <c r="E4" s="3"/>
      <c r="L4" s="57"/>
    </row>
    <row r="5" spans="1:12" ht="12">
      <c r="A5" s="1"/>
      <c r="B5" s="1"/>
      <c r="C5" s="1"/>
      <c r="D5" s="1"/>
      <c r="L5" s="57"/>
    </row>
    <row r="6" spans="1:18" ht="12">
      <c r="A6" s="1"/>
      <c r="B6" s="15" t="s">
        <v>411</v>
      </c>
      <c r="C6" s="15" t="s">
        <v>411</v>
      </c>
      <c r="D6" s="15" t="s">
        <v>411</v>
      </c>
      <c r="E6" s="15" t="s">
        <v>411</v>
      </c>
      <c r="F6" s="15" t="s">
        <v>411</v>
      </c>
      <c r="G6" s="2" t="s">
        <v>412</v>
      </c>
      <c r="H6" s="2" t="s">
        <v>412</v>
      </c>
      <c r="I6" s="2" t="s">
        <v>412</v>
      </c>
      <c r="J6" s="2" t="s">
        <v>412</v>
      </c>
      <c r="K6" s="2" t="s">
        <v>412</v>
      </c>
      <c r="L6" s="2" t="s">
        <v>412</v>
      </c>
      <c r="M6" s="2" t="s">
        <v>412</v>
      </c>
      <c r="N6" s="2" t="s">
        <v>412</v>
      </c>
      <c r="O6" s="2" t="s">
        <v>412</v>
      </c>
      <c r="P6" s="2" t="s">
        <v>412</v>
      </c>
      <c r="Q6" s="2" t="s">
        <v>412</v>
      </c>
      <c r="R6" s="2" t="s">
        <v>412</v>
      </c>
    </row>
    <row r="7" spans="1:18" ht="12.75" thickBot="1">
      <c r="A7" s="1" t="s">
        <v>410</v>
      </c>
      <c r="B7" s="254">
        <f>'Financial Statements'!B8</f>
        <v>39447</v>
      </c>
      <c r="C7" s="254">
        <f>'Financial Statements'!C8</f>
        <v>39813</v>
      </c>
      <c r="D7" s="254">
        <f>'Financial Statements'!D8</f>
        <v>40178</v>
      </c>
      <c r="E7" s="254">
        <f>'Financial Statements'!E8</f>
        <v>40543</v>
      </c>
      <c r="F7" s="254">
        <f>'Financial Statements'!F8</f>
        <v>40908</v>
      </c>
      <c r="G7" s="255">
        <f>'Financial Statements'!G8</f>
        <v>41274</v>
      </c>
      <c r="H7" s="255">
        <f>'Financial Statements'!H8</f>
        <v>41639</v>
      </c>
      <c r="I7" s="255">
        <f>'Financial Statements'!I8</f>
        <v>42004</v>
      </c>
      <c r="J7" s="255">
        <f>'Financial Statements'!J8</f>
        <v>42369</v>
      </c>
      <c r="K7" s="255">
        <f>'Financial Statements'!K8</f>
        <v>42735</v>
      </c>
      <c r="L7" s="255">
        <f>'Financial Statements'!L8</f>
        <v>43100</v>
      </c>
      <c r="M7" s="255">
        <f>'Financial Statements'!M8</f>
        <v>43465</v>
      </c>
      <c r="N7" s="255">
        <f>'Financial Statements'!N8</f>
        <v>43830</v>
      </c>
      <c r="O7" s="255">
        <f>'Financial Statements'!O8</f>
        <v>44196</v>
      </c>
      <c r="P7" s="255">
        <f>'Financial Statements'!P8</f>
        <v>44561</v>
      </c>
      <c r="Q7" s="255">
        <f>'Financial Statements'!Q8</f>
        <v>44926</v>
      </c>
      <c r="R7" s="255">
        <f>'Financial Statements'!R8</f>
        <v>45291</v>
      </c>
    </row>
    <row r="9" spans="1:4" ht="12">
      <c r="A9" s="76" t="s">
        <v>21</v>
      </c>
      <c r="B9" s="1"/>
      <c r="C9" s="1"/>
      <c r="D9" s="1"/>
    </row>
    <row r="10" spans="1:18" ht="12">
      <c r="A10" t="s">
        <v>418</v>
      </c>
      <c r="B10" s="37"/>
      <c r="C10" s="37">
        <f>'Financial Statements'!C12/'Financial Statements'!B12-1</f>
        <v>0.025531914893617058</v>
      </c>
      <c r="D10" s="37">
        <f>'Financial Statements'!D12/'Financial Statements'!C12-1</f>
        <v>-0.012966804979253066</v>
      </c>
      <c r="E10" s="37">
        <f>'Financial Statements'!E12/'Financial Statements'!D12-1</f>
        <v>-0.0005254860746189971</v>
      </c>
      <c r="F10" s="37">
        <f>'Financial Statements'!F12/'Financial Statements'!E12-1</f>
        <v>0.009463722397476282</v>
      </c>
      <c r="G10" s="47">
        <f>'Financial Statements'!G12/'Financial Statements'!F12-1</f>
        <v>0.01133065672497846</v>
      </c>
      <c r="H10" s="47">
        <f>'Financial Statements'!H12/'Financial Statements'!G12-1</f>
        <v>0.01319759105248064</v>
      </c>
      <c r="I10" s="47">
        <f>'Financial Statements'!I12/'Financial Statements'!H12-1</f>
        <v>0.015064525379982818</v>
      </c>
      <c r="J10" s="47">
        <f>'Financial Statements'!J12/'Financial Statements'!I12-1</f>
        <v>0.016931459707484997</v>
      </c>
      <c r="K10" s="47">
        <f>'Financial Statements'!K12/'Financial Statements'!J12-1</f>
        <v>0.018798394034986954</v>
      </c>
      <c r="L10" s="47">
        <f>'Financial Statements'!L12/'Financial Statements'!K12-1</f>
        <v>0.020665328362489133</v>
      </c>
      <c r="M10" s="47">
        <f>'Financial Statements'!M12/'Financial Statements'!L12-1</f>
        <v>0.02253226268999131</v>
      </c>
      <c r="N10" s="47">
        <f>'Financial Statements'!N12/'Financial Statements'!M12-1</f>
        <v>0.02439919701749349</v>
      </c>
      <c r="O10" s="47">
        <f>'Financial Statements'!O12/'Financial Statements'!N12-1</f>
        <v>0.02626613134499567</v>
      </c>
      <c r="P10" s="47">
        <f>'Financial Statements'!P12/'Financial Statements'!O12-1</f>
        <v>0.028133065672497848</v>
      </c>
      <c r="Q10" s="47">
        <f>'Financial Statements'!Q12/'Financial Statements'!P12-1</f>
        <v>0.030000000000000027</v>
      </c>
      <c r="R10" s="47">
        <f>'Financial Statements'!R12/'Financial Statements'!Q12-1</f>
        <v>0.030000000000000027</v>
      </c>
    </row>
    <row r="11" spans="1:18" ht="12">
      <c r="A11" t="s">
        <v>12</v>
      </c>
      <c r="B11" s="37"/>
      <c r="C11" s="37">
        <f>IF('Financial Statements'!B42&lt;=0,#N/A,'Financial Statements'!C42/'Financial Statements'!B42-1)</f>
        <v>0.23875278396436528</v>
      </c>
      <c r="D11" s="37">
        <f>IF('Financial Statements'!C42&lt;=0,#N/A,'Financial Statements'!D42/'Financial Statements'!C42-1)</f>
        <v>0.03408845738942823</v>
      </c>
      <c r="E11" s="37">
        <f>IF('Financial Statements'!D42&lt;=0,#N/A,'Financial Statements'!E42/'Financial Statements'!D42-1)</f>
        <v>0.003894568467904591</v>
      </c>
      <c r="F11" s="37">
        <f>IF('Financial Statements'!E42&lt;=0,#N/A,'Financial Statements'!F42/'Financial Statements'!E42-1)</f>
        <v>-0.05715275372358852</v>
      </c>
      <c r="G11" s="47">
        <f>IF('Financial Statements'!F42&lt;=0,#N/A,'Financial Statements'!G42/'Financial Statements'!F42-1)</f>
        <v>0.01133065672497846</v>
      </c>
      <c r="H11" s="47">
        <f>IF('Financial Statements'!G42&lt;=0,#N/A,'Financial Statements'!H42/'Financial Statements'!G42-1)</f>
        <v>0.01319759105248064</v>
      </c>
      <c r="I11" s="47">
        <f>IF('Financial Statements'!H42&lt;=0,#N/A,'Financial Statements'!I42/'Financial Statements'!H42-1)</f>
        <v>0.01506452537998304</v>
      </c>
      <c r="J11" s="47">
        <f>IF('Financial Statements'!I42&lt;=0,#N/A,'Financial Statements'!J42/'Financial Statements'!I42-1)</f>
        <v>0.016931459707484775</v>
      </c>
      <c r="K11" s="47">
        <f>IF('Financial Statements'!J42&lt;=0,#N/A,'Financial Statements'!K42/'Financial Statements'!J42-1)</f>
        <v>0.018798394034986954</v>
      </c>
      <c r="L11" s="47">
        <f>IF('Financial Statements'!K42&lt;=0,#N/A,'Financial Statements'!L42/'Financial Statements'!K42-1)</f>
        <v>0.020665328362489133</v>
      </c>
      <c r="M11" s="47">
        <f>IF('Financial Statements'!L42&lt;=0,#N/A,'Financial Statements'!M42/'Financial Statements'!L42-1)</f>
        <v>0.02253226268999131</v>
      </c>
      <c r="N11" s="47">
        <f>IF('Financial Statements'!M42&lt;=0,#N/A,'Financial Statements'!N42/'Financial Statements'!M42-1)</f>
        <v>0.024399197017493268</v>
      </c>
      <c r="O11" s="47">
        <f>IF('Financial Statements'!N42&lt;=0,#N/A,'Financial Statements'!O42/'Financial Statements'!N42-1)</f>
        <v>0.02626613134499589</v>
      </c>
      <c r="P11" s="47">
        <f>IF('Financial Statements'!O42&lt;=0,#N/A,'Financial Statements'!P42/'Financial Statements'!O42-1)</f>
        <v>0.028133065672497848</v>
      </c>
      <c r="Q11" s="47">
        <f>IF('Financial Statements'!P42&lt;=0,#N/A,'Financial Statements'!Q42/'Financial Statements'!P42-1)</f>
        <v>0.030000000000000027</v>
      </c>
      <c r="R11" s="47">
        <f>IF('Financial Statements'!Q42&lt;=0,#N/A,'Financial Statements'!R42/'Financial Statements'!Q42-1)</f>
        <v>0.030000000000000027</v>
      </c>
    </row>
    <row r="12" spans="1:18" ht="12">
      <c r="A12" t="s">
        <v>60</v>
      </c>
      <c r="B12" s="37"/>
      <c r="C12" s="37">
        <f>IF('Financial Statements'!B57&lt;=0,#N/A,'Financial Statements'!C57/'Financial Statements'!B57-1)</f>
        <v>0.013165769000598404</v>
      </c>
      <c r="D12" s="37">
        <f>IF('Financial Statements'!C57&lt;=0,#N/A,'Financial Statements'!D57/'Financial Statements'!C57-1)</f>
        <v>0.030124040165386834</v>
      </c>
      <c r="E12" s="37">
        <f>IF('Financial Statements'!D57&lt;=0,#N/A,'Financial Statements'!E57/'Financial Statements'!D57-1)</f>
        <v>3.1232798165137616</v>
      </c>
      <c r="F12" s="37">
        <f>IF('Financial Statements'!E57&lt;=0,#N/A,'Financial Statements'!F57/'Financial Statements'!E57-1)</f>
        <v>-0.7521902377972466</v>
      </c>
      <c r="G12" s="47">
        <f>IF('Financial Statements'!F57&lt;=0,#N/A,'Financial Statements'!G57/'Financial Statements'!F57-1)</f>
        <v>-0.6882581763529569</v>
      </c>
      <c r="H12" s="47">
        <f>IF('Financial Statements'!G57&lt;=0,#N/A,'Financial Statements'!H57/'Financial Statements'!G57-1)</f>
        <v>0.01319759105248064</v>
      </c>
      <c r="I12" s="47">
        <f>IF('Financial Statements'!H57&lt;=0,#N/A,'Financial Statements'!I57/'Financial Statements'!H57-1)</f>
        <v>0.015064525379982818</v>
      </c>
      <c r="J12" s="47">
        <f>IF('Financial Statements'!I57&lt;=0,#N/A,'Financial Statements'!J57/'Financial Statements'!I57-1)</f>
        <v>0.016931459707484775</v>
      </c>
      <c r="K12" s="47">
        <f>IF('Financial Statements'!J57&lt;=0,#N/A,'Financial Statements'!K57/'Financial Statements'!J57-1)</f>
        <v>0.018798394034986732</v>
      </c>
      <c r="L12" s="47">
        <f>IF('Financial Statements'!K57&lt;=0,#N/A,'Financial Statements'!L57/'Financial Statements'!K57-1)</f>
        <v>0.020665328362489355</v>
      </c>
      <c r="M12" s="47">
        <f>IF('Financial Statements'!L57&lt;=0,#N/A,'Financial Statements'!M57/'Financial Statements'!L57-1)</f>
        <v>0.02253226268999131</v>
      </c>
      <c r="N12" s="47">
        <f>IF('Financial Statements'!M57&lt;=0,#N/A,'Financial Statements'!N57/'Financial Statements'!M57-1)</f>
        <v>0.024399197017493046</v>
      </c>
      <c r="O12" s="47">
        <f>IF('Financial Statements'!N57&lt;=0,#N/A,'Financial Statements'!O57/'Financial Statements'!N57-1)</f>
        <v>0.026266131344996113</v>
      </c>
      <c r="P12" s="47">
        <f>IF('Financial Statements'!O57&lt;=0,#N/A,'Financial Statements'!P57/'Financial Statements'!O57-1)</f>
        <v>0.02813306567249807</v>
      </c>
      <c r="Q12" s="47">
        <f>IF('Financial Statements'!P57&lt;=0,#N/A,'Financial Statements'!Q57/'Financial Statements'!P57-1)</f>
        <v>0.029999999999999805</v>
      </c>
      <c r="R12" s="47">
        <f>IF('Financial Statements'!Q57&lt;=0,#N/A,'Financial Statements'!R57/'Financial Statements'!Q57-1)</f>
        <v>0.030000000000000027</v>
      </c>
    </row>
    <row r="13" spans="1:18" ht="12">
      <c r="A13" t="s">
        <v>13</v>
      </c>
      <c r="B13" s="37"/>
      <c r="C13" s="37">
        <f>IF('Financial Statements'!B29&lt;=0,#N/A,'Financial Statements'!C29/'Financial Statements'!B29-1)</f>
        <v>0.4318417941460968</v>
      </c>
      <c r="D13" s="37">
        <f>IF('Financial Statements'!C29&lt;=0,#N/A,'Financial Statements'!D29/'Financial Statements'!C29-1)</f>
        <v>-0.04416143318237542</v>
      </c>
      <c r="E13" s="37">
        <f>IF('Financial Statements'!D29&lt;=0,#N/A,'Financial Statements'!E29/'Financial Statements'!D29-1)</f>
        <v>0.03169991099942404</v>
      </c>
      <c r="F13" s="37">
        <f>IF('Financial Statements'!E29&lt;=0,#N/A,'Financial Statements'!F29/'Financial Statements'!E29-1)</f>
        <v>0.0037297338441630856</v>
      </c>
      <c r="G13" s="47">
        <f>IF('Financial Statements'!F29&lt;=0,#N/A,'Financial Statements'!G29/'Financial Statements'!F29-1)</f>
        <v>0.010800696637952578</v>
      </c>
      <c r="H13" s="47">
        <f>IF('Financial Statements'!G29&lt;=0,#N/A,'Financial Statements'!H29/'Financial Statements'!G29-1)</f>
        <v>0.013168066270537349</v>
      </c>
      <c r="I13" s="47">
        <f>IF('Financial Statements'!H29&lt;=0,#N/A,'Financial Statements'!I29/'Financial Statements'!H29-1)</f>
        <v>0.015035054142084059</v>
      </c>
      <c r="J13" s="47">
        <f>IF('Financial Statements'!I29&lt;=0,#N/A,'Financial Statements'!J29/'Financial Statements'!I29-1)</f>
        <v>0.016902041819775615</v>
      </c>
      <c r="K13" s="47">
        <f>IF('Financial Statements'!J29&lt;=0,#N/A,'Financial Statements'!K29/'Financial Statements'!J29-1)</f>
        <v>0.018769029304660956</v>
      </c>
      <c r="L13" s="47">
        <f>IF('Financial Statements'!K29&lt;=0,#N/A,'Financial Statements'!L29/'Financial Statements'!K29-1)</f>
        <v>0.02063601659778591</v>
      </c>
      <c r="M13" s="47">
        <f>IF('Financial Statements'!L29&lt;=0,#N/A,'Financial Statements'!M29/'Financial Statements'!L29-1)</f>
        <v>0.022503003700184543</v>
      </c>
      <c r="N13" s="47">
        <f>IF('Financial Statements'!M29&lt;=0,#N/A,'Financial Statements'!N29/'Financial Statements'!M29-1)</f>
        <v>0.024369990612885806</v>
      </c>
      <c r="O13" s="47">
        <f>IF('Financial Statements'!N29&lt;=0,#N/A,'Financial Statements'!O29/'Financial Statements'!N29-1)</f>
        <v>0.02623697733691044</v>
      </c>
      <c r="P13" s="47">
        <f>IF('Financial Statements'!O29&lt;=0,#N/A,'Financial Statements'!P29/'Financial Statements'!O29-1)</f>
        <v>0.028103963873272297</v>
      </c>
      <c r="Q13" s="47">
        <f>IF('Financial Statements'!P29&lt;=0,#N/A,'Financial Statements'!Q29/'Financial Statements'!P29-1)</f>
        <v>0.029970950222977244</v>
      </c>
      <c r="R13" s="47">
        <f>IF('Financial Statements'!Q29&lt;=0,#N/A,'Financial Statements'!R29/'Financial Statements'!Q29-1)</f>
        <v>0.03000000000000025</v>
      </c>
    </row>
    <row r="14" spans="1:18" ht="12">
      <c r="A14" t="s">
        <v>14</v>
      </c>
      <c r="B14" s="38"/>
      <c r="C14" s="37"/>
      <c r="D14" s="37" t="e">
        <f>IF('Cash Flow Analysis'!B116&lt;=0,#N/A,'Cash Flow Analysis'!C116/'Cash Flow Analysis'!B116-1)</f>
        <v>#N/A</v>
      </c>
      <c r="E14" s="37">
        <f>IF('Cash Flow Analysis'!C116&lt;=0,#N/A,'Cash Flow Analysis'!D116/'Cash Flow Analysis'!C116-1)</f>
        <v>4499.622367374382</v>
      </c>
      <c r="F14" s="37">
        <f>IF('Cash Flow Analysis'!D116&lt;=0,#N/A,'Cash Flow Analysis'!E116/'Cash Flow Analysis'!D116-1)</f>
        <v>-1.9236264731283463</v>
      </c>
      <c r="G14" s="47" t="e">
        <f>IF('Cash Flow Analysis'!E116&lt;=0,#N/A,'Cash Flow Analysis'!F116/'Cash Flow Analysis'!E116-1)</f>
        <v>#N/A</v>
      </c>
      <c r="H14" s="47">
        <f>IF('Cash Flow Analysis'!F116&lt;=0,#N/A,'Cash Flow Analysis'!G116/'Cash Flow Analysis'!F116-1)</f>
        <v>0.012693950600173087</v>
      </c>
      <c r="I14" s="47">
        <f>IF('Cash Flow Analysis'!G116&lt;=0,#N/A,'Cash Flow Analysis'!H116/'Cash Flow Analysis'!G116-1)</f>
        <v>0.014561562931078242</v>
      </c>
      <c r="J14" s="47">
        <f>IF('Cash Flow Analysis'!H116&lt;=0,#N/A,'Cash Flow Analysis'!I116/'Cash Flow Analysis'!H116-1)</f>
        <v>0.016429173438972988</v>
      </c>
      <c r="K14" s="47">
        <f>IF('Cash Flow Analysis'!I116&lt;=0,#N/A,'Cash Flow Analysis'!J116/'Cash Flow Analysis'!I116-1)</f>
        <v>0.018296782131201672</v>
      </c>
      <c r="L14" s="47">
        <f>IF('Cash Flow Analysis'!J116&lt;=0,#N/A,'Cash Flow Analysis'!K116/'Cash Flow Analysis'!J116-1)</f>
        <v>0.02016438901506601</v>
      </c>
      <c r="M14" s="47">
        <f>IF('Cash Flow Analysis'!K116&lt;=0,#N/A,'Cash Flow Analysis'!L116/'Cash Flow Analysis'!K116-1)</f>
        <v>0.02203199409783263</v>
      </c>
      <c r="N14" s="47">
        <f>IF('Cash Flow Analysis'!L116&lt;=0,#N/A,'Cash Flow Analysis'!M116/'Cash Flow Analysis'!L116-1)</f>
        <v>0.023899597386724425</v>
      </c>
      <c r="O14" s="47">
        <f>IF('Cash Flow Analysis'!M116&lt;=0,#N/A,'Cash Flow Analysis'!N116/'Cash Flow Analysis'!M116-1)</f>
        <v>0.025767198888929865</v>
      </c>
      <c r="P14" s="47">
        <f>IF('Cash Flow Analysis'!N116&lt;=0,#N/A,'Cash Flow Analysis'!O116/'Cash Flow Analysis'!N116-1)</f>
        <v>0.027634798611596345</v>
      </c>
      <c r="Q14" s="47">
        <f>IF('Cash Flow Analysis'!O116&lt;=0,#N/A,'Cash Flow Analysis'!P116/'Cash Flow Analysis'!O116-1)</f>
        <v>0.029502396561833066</v>
      </c>
      <c r="R14" s="47">
        <f>IF('Cash Flow Analysis'!P116&lt;=0,#N/A,'Cash Flow Analysis'!Q116/'Cash Flow Analysis'!P116-1)</f>
        <v>0.03000000000000025</v>
      </c>
    </row>
    <row r="15" spans="1:18" ht="12">
      <c r="A15" t="s">
        <v>377</v>
      </c>
      <c r="B15" s="38"/>
      <c r="C15" s="37"/>
      <c r="D15" s="37">
        <f>D19*(1-'Forecasting Assumptions'!D49)</f>
        <v>2.222985161478033</v>
      </c>
      <c r="E15" s="37">
        <f>E19*(1-'Forecasting Assumptions'!E49)</f>
        <v>0.8822160044767767</v>
      </c>
      <c r="F15" s="37">
        <f>F19*(1-'Forecasting Assumptions'!F49)</f>
        <v>0.8817563802518668</v>
      </c>
      <c r="G15" s="47">
        <f>G19*(1-'Forecasting Assumptions'!G49)</f>
        <v>3.4213361455051903</v>
      </c>
      <c r="H15" s="47">
        <f>H19*(1-'Forecasting Assumptions'!H49)</f>
        <v>7.245095771390583</v>
      </c>
      <c r="I15" s="47">
        <f>I19*(1-'Forecasting Assumptions'!I49)</f>
        <v>7.251510289781953</v>
      </c>
      <c r="J15" s="47">
        <f>J19*(1-'Forecasting Assumptions'!J49)</f>
        <v>7.257912933218905</v>
      </c>
      <c r="K15" s="47">
        <f>K19*(1-'Forecasting Assumptions'!K49)</f>
        <v>7.264303734646413</v>
      </c>
      <c r="L15" s="47">
        <f>L19*(1-'Forecasting Assumptions'!L49)</f>
        <v>7.2706827268877126</v>
      </c>
      <c r="M15" s="47">
        <f>M19*(1-'Forecasting Assumptions'!M49)</f>
        <v>7.277049942644839</v>
      </c>
      <c r="N15" s="47">
        <f>N19*(1-'Forecasting Assumptions'!N49)</f>
        <v>7.283405414499199</v>
      </c>
      <c r="O15" s="47">
        <f>O19*(1-'Forecasting Assumptions'!O49)</f>
        <v>7.289749174912115</v>
      </c>
      <c r="P15" s="47">
        <f>P19*(1-'Forecasting Assumptions'!P49)</f>
        <v>7.296081256225387</v>
      </c>
      <c r="Q15" s="47">
        <f>Q19*(1-'Forecasting Assumptions'!Q49)</f>
        <v>7.302401690661843</v>
      </c>
      <c r="R15" s="47">
        <f>R19*(1-'Forecasting Assumptions'!R49)</f>
        <v>7.302401690661846</v>
      </c>
    </row>
    <row r="16" spans="2:18" ht="12">
      <c r="B16" s="38"/>
      <c r="C16" s="37"/>
      <c r="D16" s="37"/>
      <c r="E16" s="37"/>
      <c r="F16" s="3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</row>
    <row r="17" spans="2:18" ht="12">
      <c r="B17" s="32"/>
      <c r="C17" s="32"/>
      <c r="D17" s="32"/>
      <c r="E17" s="32"/>
      <c r="F17" s="38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1:18" ht="12">
      <c r="A18" s="76" t="s">
        <v>43</v>
      </c>
      <c r="B18" s="36"/>
      <c r="C18" s="36"/>
      <c r="D18" s="36"/>
      <c r="E18" s="32"/>
      <c r="F18" s="38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ht="12">
      <c r="A19" t="s">
        <v>267</v>
      </c>
      <c r="B19" s="38"/>
      <c r="C19" s="38">
        <f>'Financial Statements'!C73/(('Financial Statements'!B77+'Financial Statements'!C77)/2)</f>
        <v>2.3761593341260405</v>
      </c>
      <c r="D19" s="38">
        <f>'Financial Statements'!D73/(('Financial Statements'!C77+'Financial Statements'!D77)/2)</f>
        <v>2.222985161478033</v>
      </c>
      <c r="E19" s="38">
        <f>'Financial Statements'!E73/(('Financial Statements'!D77+'Financial Statements'!E77)/2)</f>
        <v>0.8822160044767767</v>
      </c>
      <c r="F19" s="38">
        <f>'Financial Statements'!F73/(('Financial Statements'!E77+'Financial Statements'!F77)/2)</f>
        <v>0.8817563802518668</v>
      </c>
      <c r="G19" s="39">
        <f>'Financial Statements'!G73/(('Financial Statements'!F77+'Financial Statements'!G77)/2)</f>
        <v>3.4213361455051903</v>
      </c>
      <c r="H19" s="39">
        <f>'Financial Statements'!H73/(('Financial Statements'!G77+'Financial Statements'!H77)/2)</f>
        <v>7.245095771390583</v>
      </c>
      <c r="I19" s="39">
        <f>'Financial Statements'!I73/(('Financial Statements'!H77+'Financial Statements'!I77)/2)</f>
        <v>7.251510289781953</v>
      </c>
      <c r="J19" s="39">
        <f>'Financial Statements'!J73/(('Financial Statements'!I77+'Financial Statements'!J77)/2)</f>
        <v>7.257912933218905</v>
      </c>
      <c r="K19" s="39">
        <f>'Financial Statements'!K73/(('Financial Statements'!J77+'Financial Statements'!K77)/2)</f>
        <v>7.264303734646413</v>
      </c>
      <c r="L19" s="39">
        <f>'Financial Statements'!L73/(('Financial Statements'!K77+'Financial Statements'!L77)/2)</f>
        <v>7.2706827268877126</v>
      </c>
      <c r="M19" s="39">
        <f>'Financial Statements'!M73/(('Financial Statements'!L77+'Financial Statements'!M77)/2)</f>
        <v>7.277049942644839</v>
      </c>
      <c r="N19" s="39">
        <f>'Financial Statements'!N73/(('Financial Statements'!M77+'Financial Statements'!N77)/2)</f>
        <v>7.283405414499199</v>
      </c>
      <c r="O19" s="39">
        <f>'Financial Statements'!O73/(('Financial Statements'!N77+'Financial Statements'!O77)/2)</f>
        <v>7.289749174912115</v>
      </c>
      <c r="P19" s="39">
        <f>'Financial Statements'!P73/(('Financial Statements'!O77+'Financial Statements'!P77)/2)</f>
        <v>7.296081256225387</v>
      </c>
      <c r="Q19" s="39">
        <f>'Financial Statements'!Q73/(('Financial Statements'!P77+'Financial Statements'!Q77)/2)</f>
        <v>7.302401690661843</v>
      </c>
      <c r="R19" s="39">
        <f>'Financial Statements'!R73/(('Financial Statements'!Q77+'Financial Statements'!R77)/2)</f>
        <v>7.302401690661846</v>
      </c>
    </row>
    <row r="20" spans="1:18" ht="12">
      <c r="A20" t="s">
        <v>361</v>
      </c>
      <c r="B20" s="32"/>
      <c r="C20" s="38">
        <f>('Financial Statements'!C29-'Financial Statements'!C26-'Financial Statements'!C24-((IF('Financial Statements'!C22=0,0,('Financial Statements'!C22+'Financial Statements'!C23)/'Financial Statements'!C22))*'Financial Statements'!C21))/(('Financial Statements'!B77+'Financial Statements'!C77)/2)</f>
        <v>2.282058791852568</v>
      </c>
      <c r="D20" s="38">
        <f>('Financial Statements'!D29-'Financial Statements'!D26-'Financial Statements'!D24-((IF('Financial Statements'!D22=0,0,('Financial Statements'!D22+'Financial Statements'!D23)/'Financial Statements'!D22))*'Financial Statements'!D21))/(('Financial Statements'!C77+'Financial Statements'!D77)/2)</f>
        <v>2.2147271965934068</v>
      </c>
      <c r="E20" s="38">
        <f>('Financial Statements'!E29-'Financial Statements'!E26-'Financial Statements'!E24-((IF('Financial Statements'!E22=0,0,('Financial Statements'!E22+'Financial Statements'!E23)/'Financial Statements'!E22))*'Financial Statements'!E21))/(('Financial Statements'!D77+'Financial Statements'!E77)/2)</f>
        <v>0.8516236332034046</v>
      </c>
      <c r="F20" s="38">
        <f>('Financial Statements'!F29-'Financial Statements'!F26-'Financial Statements'!F24-((IF('Financial Statements'!F22=0,0,('Financial Statements'!F22+'Financial Statements'!F23)/'Financial Statements'!F22))*'Financial Statements'!F21))/(('Financial Statements'!E77+'Financial Statements'!F77)/2)</f>
        <v>0.8578983609781538</v>
      </c>
      <c r="G20" s="39">
        <f>('Financial Statements'!G29-'Financial Statements'!G26-'Financial Statements'!G24-((IF('Financial Statements'!G22=0,0,('Financial Statements'!G22+'Financial Statements'!G23)/'Financial Statements'!G22))*'Financial Statements'!G21))/(('Financial Statements'!F77+'Financial Statements'!G77)/2)</f>
        <v>3.3287152107641127</v>
      </c>
      <c r="H20" s="39">
        <f>('Financial Statements'!H29-'Financial Statements'!H26-'Financial Statements'!H24-((IF('Financial Statements'!H22=0,0,('Financial Statements'!H22+'Financial Statements'!H23)/'Financial Statements'!H22))*'Financial Statements'!H21))/(('Financial Statements'!G77+'Financial Statements'!H77)/2)</f>
        <v>7.048953951608602</v>
      </c>
      <c r="I20" s="39">
        <f>('Financial Statements'!I29-'Financial Statements'!I26-'Financial Statements'!I24-((IF('Financial Statements'!I22=0,0,('Financial Statements'!I22+'Financial Statements'!I23)/'Financial Statements'!I22))*'Financial Statements'!I21))/(('Financial Statements'!H77+'Financial Statements'!I77)/2)</f>
        <v>7.055189113906729</v>
      </c>
      <c r="J20" s="39">
        <f>('Financial Statements'!J29-'Financial Statements'!J26-'Financial Statements'!J24-((IF('Financial Statements'!J22=0,0,('Financial Statements'!J22+'Financial Statements'!J23)/'Financial Statements'!J22))*'Financial Statements'!J21))/(('Financial Statements'!I77+'Financial Statements'!J77)/2)</f>
        <v>7.061412733285565</v>
      </c>
      <c r="K20" s="39">
        <f>('Financial Statements'!K29-'Financial Statements'!K26-'Financial Statements'!K24-((IF('Financial Statements'!K22=0,0,('Financial Statements'!K22+'Financial Statements'!K23)/'Financial Statements'!K22))*'Financial Statements'!K21))/(('Financial Statements'!J77+'Financial Statements'!K77)/2)</f>
        <v>7.067624841768912</v>
      </c>
      <c r="L20" s="39">
        <f>('Financial Statements'!L29-'Financial Statements'!L26-'Financial Statements'!L24-((IF('Financial Statements'!L22=0,0,('Financial Statements'!L22+'Financial Statements'!L23)/'Financial Statements'!L22))*'Financial Statements'!L21))/(('Financial Statements'!K77+'Financial Statements'!L77)/2)</f>
        <v>7.073825471262236</v>
      </c>
      <c r="M20" s="39">
        <f>('Financial Statements'!M29-'Financial Statements'!M26-'Financial Statements'!M24-((IF('Financial Statements'!M22=0,0,('Financial Statements'!M22+'Financial Statements'!M23)/'Financial Statements'!M22))*'Financial Statements'!M21))/(('Financial Statements'!L77+'Financial Statements'!M77)/2)</f>
        <v>7.0800146535531905</v>
      </c>
      <c r="N20" s="39">
        <f>('Financial Statements'!N29-'Financial Statements'!N26-'Financial Statements'!N24-((IF('Financial Statements'!N22=0,0,('Financial Statements'!N22+'Financial Statements'!N23)/'Financial Statements'!N22))*'Financial Statements'!N21))/(('Financial Statements'!M77+'Financial Statements'!N77)/2)</f>
        <v>7.086192420312177</v>
      </c>
      <c r="O20" s="39">
        <f>('Financial Statements'!O29-'Financial Statements'!O26-'Financial Statements'!O24-((IF('Financial Statements'!O22=0,0,('Financial Statements'!O22+'Financial Statements'!O23)/'Financial Statements'!O22))*'Financial Statements'!O21))/(('Financial Statements'!N77+'Financial Statements'!O77)/2)</f>
        <v>7.092358803092865</v>
      </c>
      <c r="P20" s="39">
        <f>('Financial Statements'!P29-'Financial Statements'!P26-'Financial Statements'!P24-((IF('Financial Statements'!P22=0,0,('Financial Statements'!P22+'Financial Statements'!P23)/'Financial Statements'!P22))*'Financial Statements'!P21))/(('Financial Statements'!O77+'Financial Statements'!P77)/2)</f>
        <v>7.098513833332752</v>
      </c>
      <c r="Q20" s="39">
        <f>('Financial Statements'!Q29-'Financial Statements'!Q26-'Financial Statements'!Q24-((IF('Financial Statements'!Q22=0,0,('Financial Statements'!Q22+'Financial Statements'!Q23)/'Financial Statements'!Q22))*'Financial Statements'!Q21))/(('Financial Statements'!P77+'Financial Statements'!Q77)/2)</f>
        <v>7.104657542353681</v>
      </c>
      <c r="R20" s="39">
        <f>('Financial Statements'!R29-'Financial Statements'!R26-'Financial Statements'!R24-((IF('Financial Statements'!R22=0,0,('Financial Statements'!R22+'Financial Statements'!R23)/'Financial Statements'!R22))*'Financial Statements'!R21))/(('Financial Statements'!Q77+'Financial Statements'!R77)/2)</f>
        <v>7.104657542353683</v>
      </c>
    </row>
    <row r="21" spans="1:18" ht="12">
      <c r="A21" t="s">
        <v>391</v>
      </c>
      <c r="B21" s="32"/>
      <c r="C21" s="38">
        <f>'Financial Statements'!C71/(('Financial Statements'!B75+'Financial Statements'!C75)/2)</f>
        <v>1.867772455946662</v>
      </c>
      <c r="D21" s="38">
        <f>'Financial Statements'!D71/(('Financial Statements'!C75+'Financial Statements'!D75)/2)</f>
        <v>1.729370599576068</v>
      </c>
      <c r="E21" s="38">
        <f>'Financial Statements'!E71/(('Financial Statements'!D75+'Financial Statements'!E75)/2)</f>
        <v>0.7894134243399062</v>
      </c>
      <c r="F21" s="38">
        <f>'Financial Statements'!F71/(('Financial Statements'!E75+'Financial Statements'!F75)/2)</f>
        <v>0.7908454038471298</v>
      </c>
      <c r="G21" s="39">
        <f>'Financial Statements'!G71/(('Financial Statements'!F75+'Financial Statements'!G75)/2)</f>
        <v>2.4146713400860524</v>
      </c>
      <c r="H21" s="39">
        <f>'Financial Statements'!H71/(('Financial Statements'!G75+'Financial Statements'!H75)/2)</f>
        <v>3.869013109844369</v>
      </c>
      <c r="I21" s="39">
        <f>'Financial Statements'!I71/(('Financial Statements'!H75+'Financial Statements'!I75)/2)</f>
        <v>3.8724675166604277</v>
      </c>
      <c r="J21" s="39">
        <f>'Financial Statements'!J71/(('Financial Statements'!I75+'Financial Statements'!J75)/2)</f>
        <v>3.875915528464269</v>
      </c>
      <c r="K21" s="39">
        <f>'Financial Statements'!K71/(('Financial Statements'!J75+'Financial Statements'!K75)/2)</f>
        <v>3.8793571629977293</v>
      </c>
      <c r="L21" s="39">
        <f>'Financial Statements'!L71/(('Financial Statements'!K75+'Financial Statements'!L75)/2)</f>
        <v>3.8827924379370886</v>
      </c>
      <c r="M21" s="39">
        <f>'Financial Statements'!M71/(('Financial Statements'!L75+'Financial Statements'!M75)/2)</f>
        <v>3.886221370893353</v>
      </c>
      <c r="N21" s="39">
        <f>'Financial Statements'!N71/(('Financial Statements'!M75+'Financial Statements'!N75)/2)</f>
        <v>3.8896439794125683</v>
      </c>
      <c r="O21" s="39">
        <f>'Financial Statements'!O71/(('Financial Statements'!N75+'Financial Statements'!O75)/2)</f>
        <v>3.893060280976112</v>
      </c>
      <c r="P21" s="39">
        <f>'Financial Statements'!P71/(('Financial Statements'!O75+'Financial Statements'!P75)/2)</f>
        <v>3.8964702930009953</v>
      </c>
      <c r="Q21" s="39">
        <f>'Financial Statements'!Q71/(('Financial Statements'!P75+'Financial Statements'!Q75)/2)</f>
        <v>3.899874032840157</v>
      </c>
      <c r="R21" s="39">
        <f>'Financial Statements'!R71/(('Financial Statements'!Q75+'Financial Statements'!R75)/2)</f>
        <v>3.8998740328401587</v>
      </c>
    </row>
    <row r="22" spans="2:18" ht="12">
      <c r="B22" s="32"/>
      <c r="C22" s="38"/>
      <c r="D22" s="38"/>
      <c r="E22" s="38"/>
      <c r="F22" s="38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12">
      <c r="A23" s="76" t="s">
        <v>44</v>
      </c>
      <c r="B23" s="32"/>
      <c r="C23" s="38"/>
      <c r="D23" s="38"/>
      <c r="E23" s="38"/>
      <c r="F23" s="38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 ht="12">
      <c r="A24" t="s">
        <v>87</v>
      </c>
      <c r="B24" s="38">
        <f>'Financial Statements'!B29/'Financial Statements'!B12</f>
        <v>1.4847340425531914</v>
      </c>
      <c r="C24" s="38">
        <f>'Financial Statements'!C29/'Financial Statements'!C12</f>
        <v>2.0729771784232365</v>
      </c>
      <c r="D24" s="38">
        <f>'Financial Statements'!D29/'Financial Statements'!D12</f>
        <v>2.0074619022595903</v>
      </c>
      <c r="E24" s="38">
        <f>'Financial Statements'!E29/'Financial Statements'!E12</f>
        <v>2.072187171398528</v>
      </c>
      <c r="F24" s="38">
        <f>'Financial Statements'!F29/'Financial Statements'!F12</f>
        <v>2.060416666666667</v>
      </c>
      <c r="G24" s="39">
        <f>'Financial Statements'!G29/'Financial Statements'!G12</f>
        <v>2.0593369618354966</v>
      </c>
      <c r="H24" s="39">
        <f>'Financial Statements'!H29/'Financial Statements'!H12</f>
        <v>2.0592769523415115</v>
      </c>
      <c r="I24" s="39">
        <f>'Financial Statements'!I29/'Financial Statements'!I12</f>
        <v>2.059217163589718</v>
      </c>
      <c r="J24" s="39">
        <f>'Financial Statements'!J29/'Financial Statements'!J12</f>
        <v>2.0591575943643696</v>
      </c>
      <c r="K24" s="39">
        <f>'Financial Statements'!K29/'Financial Statements'!K12</f>
        <v>2.059098243458625</v>
      </c>
      <c r="L24" s="39">
        <f>'Financial Statements'!L29/'Financial Statements'!L12</f>
        <v>2.0590391096744787</v>
      </c>
      <c r="M24" s="39">
        <f>'Financial Statements'!M29/'Financial Statements'!M12</f>
        <v>2.0589801918226707</v>
      </c>
      <c r="N24" s="39">
        <f>'Financial Statements'!N29/'Financial Statements'!N12</f>
        <v>2.0589214887226133</v>
      </c>
      <c r="O24" s="39">
        <f>'Financial Statements'!O29/'Financial Statements'!O12</f>
        <v>2.0588629992023066</v>
      </c>
      <c r="P24" s="39">
        <f>'Financial Statements'!P29/'Financial Statements'!P12</f>
        <v>2.058804722098266</v>
      </c>
      <c r="Q24" s="39">
        <f>'Financial Statements'!Q29/'Financial Statements'!Q12</f>
        <v>2.0587466562554404</v>
      </c>
      <c r="R24" s="39">
        <f>'Financial Statements'!R29/'Financial Statements'!R12</f>
        <v>2.058746656255441</v>
      </c>
    </row>
    <row r="25" spans="1:18" ht="12">
      <c r="A25" t="s">
        <v>86</v>
      </c>
      <c r="B25" s="36"/>
      <c r="C25" s="38">
        <f>'Financial Statements'!C12/(('Financial Statements'!B42+'Financial Statements'!C42)/2)</f>
        <v>1.5344210107441305</v>
      </c>
      <c r="D25" s="38">
        <f>'Financial Statements'!D12/(('Financial Statements'!C42+'Financial Statements'!D42)/2)</f>
        <v>1.3456371093197568</v>
      </c>
      <c r="E25" s="38">
        <f>'Financial Statements'!E12/(('Financial Statements'!D42+'Financial Statements'!E42)/2)</f>
        <v>1.32019157354064</v>
      </c>
      <c r="F25" s="38">
        <f>'Financial Statements'!F12/(('Financial Statements'!E42+'Financial Statements'!F42)/2)</f>
        <v>1.3692280263861651</v>
      </c>
      <c r="G25" s="39">
        <f>'Financial Statements'!G12/(('Financial Statements'!F42+'Financial Statements'!G42)/2)</f>
        <v>1.4186746167489903</v>
      </c>
      <c r="H25" s="39">
        <f>'Financial Statements'!H12/(('Financial Statements'!G42+'Financial Statements'!H42)/2)</f>
        <v>1.4199754818569579</v>
      </c>
      <c r="I25" s="39">
        <f>'Financial Statements'!I12/(('Financial Statements'!H42+'Financial Statements'!I42)/2)</f>
        <v>1.421273936491519</v>
      </c>
      <c r="J25" s="39">
        <f>'Financial Statements'!J12/(('Financial Statements'!I42+'Financial Statements'!J42)/2)</f>
        <v>1.4225699873463005</v>
      </c>
      <c r="K25" s="39">
        <f>'Financial Statements'!K12/(('Financial Statements'!J42+'Financial Statements'!K42)/2)</f>
        <v>1.4238636410901686</v>
      </c>
      <c r="L25" s="39">
        <f>'Financial Statements'!L12/(('Financial Statements'!K42+'Financial Statements'!L42)/2)</f>
        <v>1.425154904367344</v>
      </c>
      <c r="M25" s="39">
        <f>'Financial Statements'!M12/(('Financial Statements'!L42+'Financial Statements'!M42)/2)</f>
        <v>1.426443783797515</v>
      </c>
      <c r="N25" s="39">
        <f>'Financial Statements'!N12/(('Financial Statements'!M42+'Financial Statements'!N42)/2)</f>
        <v>1.4277302859759504</v>
      </c>
      <c r="O25" s="39">
        <f>'Financial Statements'!O12/(('Financial Statements'!N42+'Financial Statements'!O42)/2)</f>
        <v>1.4290144174736128</v>
      </c>
      <c r="P25" s="39">
        <f>'Financial Statements'!P12/(('Financial Statements'!O42+'Financial Statements'!P42)/2)</f>
        <v>1.43029618483727</v>
      </c>
      <c r="Q25" s="39">
        <f>'Financial Statements'!Q12/(('Financial Statements'!P42+'Financial Statements'!Q42)/2)</f>
        <v>1.4315755945896056</v>
      </c>
      <c r="R25" s="39">
        <f>'Financial Statements'!R12/(('Financial Statements'!Q42+'Financial Statements'!R42)/2)</f>
        <v>1.4315755945896056</v>
      </c>
    </row>
    <row r="26" spans="1:18" ht="12">
      <c r="A26" t="s">
        <v>88</v>
      </c>
      <c r="B26" s="36"/>
      <c r="C26" s="38">
        <f>('Financial Statements'!B58+'Financial Statements'!C58)/('Financial Statements'!B57+'Financial Statements'!C57)</f>
        <v>1.459126040428062</v>
      </c>
      <c r="D26" s="38">
        <f>('Financial Statements'!C58+'Financial Statements'!D58)/('Financial Statements'!C57+'Financial Statements'!D57)</f>
        <v>1.4732906604597031</v>
      </c>
      <c r="E26" s="38">
        <f>('Financial Statements'!D58+'Financial Statements'!E58)/('Financial Statements'!D57+'Financial Statements'!E57)</f>
        <v>1.3053497481813094</v>
      </c>
      <c r="F26" s="38">
        <f>('Financial Statements'!E58+'Financial Statements'!F58)/('Financial Statements'!E57+'Financial Statements'!F57)</f>
        <v>1.3008469854006464</v>
      </c>
      <c r="G26" s="39">
        <f>('Financial Statements'!F58+'Financial Statements'!G58)/('Financial Statements'!F57+'Financial Statements'!G57)</f>
        <v>1.698430109438894</v>
      </c>
      <c r="H26" s="39">
        <f>('Financial Statements'!G58+'Financial Statements'!H58)/('Financial Statements'!G57+'Financial Statements'!H57)</f>
        <v>2.4776988894957217</v>
      </c>
      <c r="I26" s="39">
        <f>('Financial Statements'!H58+'Financial Statements'!I58)/('Financial Statements'!H57+'Financial Statements'!I57)</f>
        <v>2.4776988894957217</v>
      </c>
      <c r="J26" s="39">
        <f>('Financial Statements'!I58+'Financial Statements'!J58)/('Financial Statements'!I57+'Financial Statements'!J57)</f>
        <v>2.4776988894957217</v>
      </c>
      <c r="K26" s="39">
        <f>('Financial Statements'!J58+'Financial Statements'!K58)/('Financial Statements'!J57+'Financial Statements'!K57)</f>
        <v>2.477698889495722</v>
      </c>
      <c r="L26" s="39">
        <f>('Financial Statements'!K58+'Financial Statements'!L58)/('Financial Statements'!K57+'Financial Statements'!L57)</f>
        <v>2.477698889495722</v>
      </c>
      <c r="M26" s="39">
        <f>('Financial Statements'!L58+'Financial Statements'!M58)/('Financial Statements'!L57+'Financial Statements'!M57)</f>
        <v>2.4776988894957217</v>
      </c>
      <c r="N26" s="39">
        <f>('Financial Statements'!M58+'Financial Statements'!N58)/('Financial Statements'!M57+'Financial Statements'!N57)</f>
        <v>2.477698889495722</v>
      </c>
      <c r="O26" s="39">
        <f>('Financial Statements'!N58+'Financial Statements'!O58)/('Financial Statements'!N57+'Financial Statements'!O57)</f>
        <v>2.477698889495722</v>
      </c>
      <c r="P26" s="39">
        <f>('Financial Statements'!O58+'Financial Statements'!P58)/('Financial Statements'!O57+'Financial Statements'!P57)</f>
        <v>2.4776988894957213</v>
      </c>
      <c r="Q26" s="39">
        <f>('Financial Statements'!P58+'Financial Statements'!Q58)/('Financial Statements'!P57+'Financial Statements'!Q57)</f>
        <v>2.4776988894957213</v>
      </c>
      <c r="R26" s="39">
        <f>('Financial Statements'!Q58+'Financial Statements'!R58)/('Financial Statements'!Q57+'Financial Statements'!R57)</f>
        <v>2.4776988894957217</v>
      </c>
    </row>
    <row r="27" spans="1:18" ht="12">
      <c r="A27" s="205" t="s">
        <v>116</v>
      </c>
      <c r="B27" s="32"/>
      <c r="C27" s="38">
        <f>C24*C25*C26</f>
        <v>4.64121690869784</v>
      </c>
      <c r="D27" s="38">
        <f>D24*D25*D26</f>
        <v>3.9798225011230084</v>
      </c>
      <c r="E27" s="38">
        <f>E24*E25*E26</f>
        <v>3.5710244759540464</v>
      </c>
      <c r="F27" s="38">
        <f>F24*F25*F26</f>
        <v>3.669923818324092</v>
      </c>
      <c r="G27" s="39">
        <f>G24*G25*G26</f>
        <v>4.962012946732327</v>
      </c>
      <c r="H27" s="39">
        <f aca="true" t="shared" si="0" ref="H27:P27">H24*H25*H26</f>
        <v>7.245095771390583</v>
      </c>
      <c r="I27" s="39">
        <f t="shared" si="0"/>
        <v>7.251510289781952</v>
      </c>
      <c r="J27" s="39">
        <f t="shared" si="0"/>
        <v>7.257912933218905</v>
      </c>
      <c r="K27" s="39">
        <f t="shared" si="0"/>
        <v>7.264303734646413</v>
      </c>
      <c r="L27" s="39">
        <f t="shared" si="0"/>
        <v>7.2706827268877126</v>
      </c>
      <c r="M27" s="39">
        <f t="shared" si="0"/>
        <v>7.2770499426448385</v>
      </c>
      <c r="N27" s="39">
        <f t="shared" si="0"/>
        <v>7.2834054144991995</v>
      </c>
      <c r="O27" s="39">
        <f t="shared" si="0"/>
        <v>7.289749174912115</v>
      </c>
      <c r="P27" s="39">
        <f t="shared" si="0"/>
        <v>7.296081256225387</v>
      </c>
      <c r="Q27" s="39">
        <f>Q24*Q25*Q26</f>
        <v>7.302401690661841</v>
      </c>
      <c r="R27" s="39">
        <f>R24*R25*R26</f>
        <v>7.302401690661845</v>
      </c>
    </row>
    <row r="28" spans="1:18" ht="12">
      <c r="A28" s="205"/>
      <c r="B28" s="32"/>
      <c r="C28" s="38"/>
      <c r="D28" s="38"/>
      <c r="E28" s="38"/>
      <c r="F28" s="38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1:18" ht="12">
      <c r="A29" s="76" t="s">
        <v>45</v>
      </c>
      <c r="B29" s="32"/>
      <c r="C29" s="38"/>
      <c r="D29" s="38"/>
      <c r="E29" s="38"/>
      <c r="F29" s="38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18" ht="12">
      <c r="A30" t="s">
        <v>117</v>
      </c>
      <c r="B30" s="38">
        <f>'Financial Statements'!B71/'Financial Statements'!B12</f>
        <v>1.4682073016217925</v>
      </c>
      <c r="C30" s="38">
        <f>'Financial Statements'!C71/'Financial Statements'!C12</f>
        <v>2.0556637774356945</v>
      </c>
      <c r="D30" s="38">
        <f>'Financial Statements'!D71/'Financial Statements'!D12</f>
        <v>1.9894577596384277</v>
      </c>
      <c r="E30" s="38">
        <f>'Financial Statements'!E71/'Financial Statements'!E12</f>
        <v>2.053823795833233</v>
      </c>
      <c r="F30" s="38">
        <f>'Financial Statements'!F71/'Financial Statements'!F12</f>
        <v>2.0429555084745763</v>
      </c>
      <c r="G30" s="39">
        <f>'Financial Statements'!G71/'Financial Statements'!G12</f>
        <v>2.0420708253755513</v>
      </c>
      <c r="H30" s="39">
        <f>'Financial Statements'!H71/'Financial Statements'!H12</f>
        <v>2.042026633700083</v>
      </c>
      <c r="I30" s="39">
        <f>'Financial Statements'!I71/'Financial Statements'!I12</f>
        <v>2.041982604581681</v>
      </c>
      <c r="J30" s="39">
        <f>'Financial Statements'!J71/'Financial Statements'!J12</f>
        <v>2.041938737125056</v>
      </c>
      <c r="K30" s="39">
        <f>'Financial Statements'!K71/'Financial Statements'!K12</f>
        <v>2.041895030441476</v>
      </c>
      <c r="L30" s="39">
        <f>'Financial Statements'!L71/'Financial Statements'!L12</f>
        <v>2.0418514836487156</v>
      </c>
      <c r="M30" s="39">
        <f>'Financial Statements'!M71/'Financial Statements'!M12</f>
        <v>2.041808095870991</v>
      </c>
      <c r="N30" s="39">
        <f>'Financial Statements'!N71/'Financial Statements'!N12</f>
        <v>2.0417648662389034</v>
      </c>
      <c r="O30" s="39">
        <f>'Financial Statements'!O71/'Financial Statements'!O12</f>
        <v>2.0417217938893795</v>
      </c>
      <c r="P30" s="39">
        <f>'Financial Statements'!P71/'Financial Statements'!P12</f>
        <v>2.0416788779656154</v>
      </c>
      <c r="Q30" s="39">
        <f>'Financial Statements'!Q71/'Financial Statements'!Q12</f>
        <v>2.041636117617018</v>
      </c>
      <c r="R30" s="39">
        <f>'Financial Statements'!R71/'Financial Statements'!R12</f>
        <v>2.0416361176170184</v>
      </c>
    </row>
    <row r="31" spans="1:18" ht="12">
      <c r="A31" t="s">
        <v>105</v>
      </c>
      <c r="B31" s="32"/>
      <c r="C31" s="38">
        <f>'Financial Statements'!C12/(('Financial Statements'!B75+'Financial Statements'!C75)/2)</f>
        <v>0.9085982233323122</v>
      </c>
      <c r="D31" s="38">
        <f>'Financial Statements'!D12/(('Financial Statements'!C75+'Financial Statements'!D75)/2)</f>
        <v>0.8692673122601864</v>
      </c>
      <c r="E31" s="38">
        <f>'Financial Statements'!E12/(('Financial Statements'!D75+'Financial Statements'!E75)/2)</f>
        <v>0.3843627802645273</v>
      </c>
      <c r="F31" s="38">
        <f>'Financial Statements'!F12/(('Financial Statements'!E75+'Financial Statements'!F75)/2)</f>
        <v>0.3871084811032592</v>
      </c>
      <c r="G31" s="39">
        <f>'Financial Statements'!G12/(('Financial Statements'!F75+'Financial Statements'!G75)/2)</f>
        <v>1.1824620919511823</v>
      </c>
      <c r="H31" s="39">
        <f>'Financial Statements'!H12/(('Financial Statements'!G75+'Financial Statements'!H75)/2)</f>
        <v>1.8946927753012939</v>
      </c>
      <c r="I31" s="39">
        <f>'Financial Statements'!I12/(('Financial Statements'!H75+'Financial Statements'!I75)/2)</f>
        <v>1.8964253211421152</v>
      </c>
      <c r="J31" s="39">
        <f>'Financial Statements'!J12/(('Financial Statements'!I75+'Financial Statements'!J75)/2)</f>
        <v>1.8981546595865832</v>
      </c>
      <c r="K31" s="39">
        <f>'Financial Statements'!K12/(('Financial Statements'!J75+'Financial Statements'!K75)/2)</f>
        <v>1.8998807995330584</v>
      </c>
      <c r="L31" s="39">
        <f>'Financial Statements'!L12/(('Financial Statements'!K75+'Financial Statements'!L75)/2)</f>
        <v>1.901603749847015</v>
      </c>
      <c r="M31" s="39">
        <f>'Financial Statements'!M12/(('Financial Statements'!L75+'Financial Statements'!M75)/2)</f>
        <v>1.903323519361194</v>
      </c>
      <c r="N31" s="39">
        <f>'Financial Statements'!N12/(('Financial Statements'!M75+'Financial Statements'!N75)/2)</f>
        <v>1.9050401168757536</v>
      </c>
      <c r="O31" s="39">
        <f>'Financial Statements'!O12/(('Financial Statements'!N75+'Financial Statements'!O75)/2)</f>
        <v>1.906753551158419</v>
      </c>
      <c r="P31" s="39">
        <f>'Financial Statements'!P12/(('Financial Statements'!O75+'Financial Statements'!P75)/2)</f>
        <v>1.9084638309446316</v>
      </c>
      <c r="Q31" s="39">
        <f>'Financial Statements'!Q12/(('Financial Statements'!P75+'Financial Statements'!Q75)/2)</f>
        <v>1.910170964937699</v>
      </c>
      <c r="R31" s="39">
        <f>'Financial Statements'!R12/(('Financial Statements'!Q75+'Financial Statements'!R75)/2)</f>
        <v>1.9101709649376994</v>
      </c>
    </row>
    <row r="32" spans="1:18" ht="12">
      <c r="A32" s="205" t="s">
        <v>195</v>
      </c>
      <c r="B32" s="32"/>
      <c r="C32" s="38">
        <f>C30*C31</f>
        <v>1.8677724559466617</v>
      </c>
      <c r="D32" s="38">
        <f>D30*D31</f>
        <v>1.729370599576068</v>
      </c>
      <c r="E32" s="38">
        <f>E30*E31</f>
        <v>0.7894134243399064</v>
      </c>
      <c r="F32" s="38">
        <f>F30*F31</f>
        <v>0.7908454038471298</v>
      </c>
      <c r="G32" s="39">
        <f>G30*G31</f>
        <v>2.414671340086052</v>
      </c>
      <c r="H32" s="39">
        <f aca="true" t="shared" si="1" ref="H32:R32">H30*H31</f>
        <v>3.869013109844369</v>
      </c>
      <c r="I32" s="39">
        <f t="shared" si="1"/>
        <v>3.872467516660427</v>
      </c>
      <c r="J32" s="39">
        <f t="shared" si="1"/>
        <v>3.875915528464269</v>
      </c>
      <c r="K32" s="39">
        <f t="shared" si="1"/>
        <v>3.8793571629977297</v>
      </c>
      <c r="L32" s="39">
        <f t="shared" si="1"/>
        <v>3.8827924379370886</v>
      </c>
      <c r="M32" s="39">
        <f t="shared" si="1"/>
        <v>3.886221370893353</v>
      </c>
      <c r="N32" s="39">
        <f t="shared" si="1"/>
        <v>3.889643979412568</v>
      </c>
      <c r="O32" s="39">
        <f t="shared" si="1"/>
        <v>3.893060280976112</v>
      </c>
      <c r="P32" s="39">
        <f t="shared" si="1"/>
        <v>3.8964702930009953</v>
      </c>
      <c r="Q32" s="39">
        <f t="shared" si="1"/>
        <v>3.8998740328401564</v>
      </c>
      <c r="R32" s="39">
        <f t="shared" si="1"/>
        <v>3.899874032840158</v>
      </c>
    </row>
    <row r="33" spans="1:18" ht="12">
      <c r="A33" s="25" t="s">
        <v>239</v>
      </c>
      <c r="B33" s="32"/>
      <c r="C33" s="38">
        <f>-'Financial Statements'!C72/(('Financial Statements'!B76+'Financial Statements'!C76)/2)</f>
        <v>-0.07587279714508581</v>
      </c>
      <c r="D33" s="38">
        <f>-'Financial Statements'!D72/(('Financial Statements'!C76+'Financial Statements'!D76)/2)</f>
        <v>-0.0727892148036366</v>
      </c>
      <c r="E33" s="38">
        <f>-'Financial Statements'!E72/(('Financial Statements'!D76+'Financial Statements'!E76)/2)</f>
        <v>-0.07262114632537836</v>
      </c>
      <c r="F33" s="38">
        <f>-'Financial Statements'!F72/(('Financial Statements'!E76+'Financial Statements'!F76)/2)</f>
        <v>-0.07082586612192576</v>
      </c>
      <c r="G33" s="39">
        <f>-'Financial Statements'!G72/(('Financial Statements'!F76+'Financial Statements'!G76)/2)</f>
        <v>-0.07082586612192576</v>
      </c>
      <c r="H33" s="39">
        <f>-'Financial Statements'!H72/(('Financial Statements'!G76+'Financial Statements'!H76)/2)</f>
        <v>-0.07082586612192576</v>
      </c>
      <c r="I33" s="39">
        <f>-'Financial Statements'!I72/(('Financial Statements'!H76+'Financial Statements'!I76)/2)</f>
        <v>-0.07082586612192576</v>
      </c>
      <c r="J33" s="39">
        <f>-'Financial Statements'!J72/(('Financial Statements'!I76+'Financial Statements'!J76)/2)</f>
        <v>-0.07082586612192576</v>
      </c>
      <c r="K33" s="39">
        <f>-'Financial Statements'!K72/(('Financial Statements'!J76+'Financial Statements'!K76)/2)</f>
        <v>-0.07082586612192576</v>
      </c>
      <c r="L33" s="39">
        <f>-'Financial Statements'!L72/(('Financial Statements'!K76+'Financial Statements'!L76)/2)</f>
        <v>-0.07082586612192576</v>
      </c>
      <c r="M33" s="39">
        <f>-'Financial Statements'!M72/(('Financial Statements'!L76+'Financial Statements'!M76)/2)</f>
        <v>-0.07082586612192576</v>
      </c>
      <c r="N33" s="39">
        <f>-'Financial Statements'!N72/(('Financial Statements'!M76+'Financial Statements'!N76)/2)</f>
        <v>-0.07082586612192575</v>
      </c>
      <c r="O33" s="39">
        <f>-'Financial Statements'!O72/(('Financial Statements'!N76+'Financial Statements'!O76)/2)</f>
        <v>-0.07082586612192576</v>
      </c>
      <c r="P33" s="39">
        <f>-'Financial Statements'!P72/(('Financial Statements'!O76+'Financial Statements'!P76)/2)</f>
        <v>-0.07082586612192576</v>
      </c>
      <c r="Q33" s="39">
        <f>-'Financial Statements'!Q72/(('Financial Statements'!P76+'Financial Statements'!Q76)/2)</f>
        <v>-0.07082586612192576</v>
      </c>
      <c r="R33" s="39">
        <f>-'Financial Statements'!R72/(('Financial Statements'!Q76+'Financial Statements'!R76)/2)</f>
        <v>-0.07082586612192576</v>
      </c>
    </row>
    <row r="34" spans="1:18" ht="12">
      <c r="A34" s="25" t="s">
        <v>240</v>
      </c>
      <c r="B34" s="32"/>
      <c r="C34" s="38">
        <f>C32-C33</f>
        <v>1.9436452530917476</v>
      </c>
      <c r="D34" s="38">
        <f>D32-D33</f>
        <v>1.8021598143797046</v>
      </c>
      <c r="E34" s="38">
        <f>E32-E33</f>
        <v>0.8620345706652848</v>
      </c>
      <c r="F34" s="38">
        <f>F32-F33</f>
        <v>0.8616712699690555</v>
      </c>
      <c r="G34" s="39">
        <f>G32-G33</f>
        <v>2.485497206207978</v>
      </c>
      <c r="H34" s="39">
        <f aca="true" t="shared" si="2" ref="H34:R34">H32-H33</f>
        <v>3.939838975966295</v>
      </c>
      <c r="I34" s="39">
        <f t="shared" si="2"/>
        <v>3.943293382782353</v>
      </c>
      <c r="J34" s="39">
        <f t="shared" si="2"/>
        <v>3.9467413945861947</v>
      </c>
      <c r="K34" s="39">
        <f t="shared" si="2"/>
        <v>3.9501830291196556</v>
      </c>
      <c r="L34" s="39">
        <f t="shared" si="2"/>
        <v>3.9536183040590145</v>
      </c>
      <c r="M34" s="39">
        <f t="shared" si="2"/>
        <v>3.9570472370152787</v>
      </c>
      <c r="N34" s="39">
        <f t="shared" si="2"/>
        <v>3.9604698455344938</v>
      </c>
      <c r="O34" s="39">
        <f t="shared" si="2"/>
        <v>3.9638861470980378</v>
      </c>
      <c r="P34" s="39">
        <f t="shared" si="2"/>
        <v>3.967296159122921</v>
      </c>
      <c r="Q34" s="39">
        <f t="shared" si="2"/>
        <v>3.9706998989620823</v>
      </c>
      <c r="R34" s="39">
        <f t="shared" si="2"/>
        <v>3.970699898962084</v>
      </c>
    </row>
    <row r="35" spans="1:18" ht="12">
      <c r="A35" s="25" t="s">
        <v>392</v>
      </c>
      <c r="B35" s="32"/>
      <c r="C35" s="38">
        <f>('Financial Statements'!B76+'Financial Statements'!C76)/('Financial Statements'!B77+'Financial Statements'!C77)</f>
        <v>0.26156361474435197</v>
      </c>
      <c r="D35" s="38">
        <f>('Financial Statements'!C76+'Financial Statements'!D76)/('Financial Statements'!C77+'Financial Statements'!D77)</f>
        <v>0.27390165842304337</v>
      </c>
      <c r="E35" s="38">
        <f>('Financial Statements'!D76+'Financial Statements'!E76)/('Financial Statements'!D77+'Financial Statements'!E77)</f>
        <v>0.1076552881925014</v>
      </c>
      <c r="F35" s="38">
        <f>('Financial Statements'!E76+'Financial Statements'!F76)/('Financial Statements'!E77+'Financial Statements'!F77)</f>
        <v>0.10550540510420149</v>
      </c>
      <c r="G35" s="39">
        <f>('Financial Statements'!F76+'Financial Statements'!G76)/('Financial Statements'!F77+'Financial Statements'!G77)</f>
        <v>0.4050154644731889</v>
      </c>
      <c r="H35" s="39">
        <f>('Financial Statements'!G76+'Financial Statements'!H76)/('Financial Statements'!G77+'Financial Statements'!H77)</f>
        <v>0.8569087930092845</v>
      </c>
      <c r="I35" s="39">
        <f>('Financial Statements'!H76+'Financial Statements'!I76)/('Financial Statements'!H77+'Financial Statements'!I77)</f>
        <v>0.8569087930092846</v>
      </c>
      <c r="J35" s="39">
        <f>('Financial Statements'!I76+'Financial Statements'!J76)/('Financial Statements'!I77+'Financial Statements'!J77)</f>
        <v>0.8569087930092846</v>
      </c>
      <c r="K35" s="39">
        <f>('Financial Statements'!J76+'Financial Statements'!K76)/('Financial Statements'!J77+'Financial Statements'!K77)</f>
        <v>0.8569087930092845</v>
      </c>
      <c r="L35" s="39">
        <f>('Financial Statements'!K76+'Financial Statements'!L76)/('Financial Statements'!K77+'Financial Statements'!L77)</f>
        <v>0.8569087930092847</v>
      </c>
      <c r="M35" s="39">
        <f>('Financial Statements'!L76+'Financial Statements'!M76)/('Financial Statements'!L77+'Financial Statements'!M77)</f>
        <v>0.8569087930092844</v>
      </c>
      <c r="N35" s="39">
        <f>('Financial Statements'!M76+'Financial Statements'!N76)/('Financial Statements'!M77+'Financial Statements'!N77)</f>
        <v>0.8569087930092846</v>
      </c>
      <c r="O35" s="39">
        <f>('Financial Statements'!N76+'Financial Statements'!O76)/('Financial Statements'!N77+'Financial Statements'!O77)</f>
        <v>0.8569087930092846</v>
      </c>
      <c r="P35" s="39">
        <f>('Financial Statements'!O76+'Financial Statements'!P76)/('Financial Statements'!O77+'Financial Statements'!P77)</f>
        <v>0.8569087930092844</v>
      </c>
      <c r="Q35" s="39">
        <f>('Financial Statements'!P76+'Financial Statements'!Q76)/('Financial Statements'!P77+'Financial Statements'!Q77)</f>
        <v>0.8569087930092845</v>
      </c>
      <c r="R35" s="39">
        <f>('Financial Statements'!Q76+'Financial Statements'!R76)/('Financial Statements'!Q77+'Financial Statements'!R77)</f>
        <v>0.8569087930092846</v>
      </c>
    </row>
    <row r="36" spans="1:18" ht="12">
      <c r="A36" t="s">
        <v>234</v>
      </c>
      <c r="B36" s="32"/>
      <c r="C36" s="38">
        <f>C32+(C35*C34)</f>
        <v>2.37615933412604</v>
      </c>
      <c r="D36" s="38">
        <f>D32+(D35*D34)</f>
        <v>2.222985161478033</v>
      </c>
      <c r="E36" s="38">
        <f>E32+(E35*E34)</f>
        <v>0.8822160044767768</v>
      </c>
      <c r="F36" s="38">
        <f>F32+(F35*F34)</f>
        <v>0.8817563802518668</v>
      </c>
      <c r="G36" s="39">
        <f>G32+(G35*G34)</f>
        <v>3.4213361455051894</v>
      </c>
      <c r="H36" s="39">
        <f aca="true" t="shared" si="3" ref="H36:R36">H32+(H35*H34)</f>
        <v>7.245095771390583</v>
      </c>
      <c r="I36" s="39">
        <f t="shared" si="3"/>
        <v>7.251510289781953</v>
      </c>
      <c r="J36" s="39">
        <f t="shared" si="3"/>
        <v>7.257912933218906</v>
      </c>
      <c r="K36" s="39">
        <f t="shared" si="3"/>
        <v>7.264303734646413</v>
      </c>
      <c r="L36" s="39">
        <f t="shared" si="3"/>
        <v>7.270682726887713</v>
      </c>
      <c r="M36" s="39">
        <f t="shared" si="3"/>
        <v>7.2770499426448385</v>
      </c>
      <c r="N36" s="39">
        <f t="shared" si="3"/>
        <v>7.283405414499199</v>
      </c>
      <c r="O36" s="39">
        <f t="shared" si="3"/>
        <v>7.2897491749121155</v>
      </c>
      <c r="P36" s="39">
        <f t="shared" si="3"/>
        <v>7.296081256225388</v>
      </c>
      <c r="Q36" s="39">
        <f t="shared" si="3"/>
        <v>7.302401690661842</v>
      </c>
      <c r="R36" s="39">
        <f t="shared" si="3"/>
        <v>7.302401690661846</v>
      </c>
    </row>
    <row r="37" spans="2:18" ht="12">
      <c r="B37" s="32"/>
      <c r="C37" s="32"/>
      <c r="D37" s="32"/>
      <c r="E37" s="38"/>
      <c r="F37" s="38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2:18" ht="12">
      <c r="B38" s="32"/>
      <c r="C38" s="32"/>
      <c r="D38" s="32"/>
      <c r="E38" s="38"/>
      <c r="F38" s="38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  <row r="39" spans="1:18" ht="12">
      <c r="A39" s="76" t="s">
        <v>222</v>
      </c>
      <c r="B39" s="36"/>
      <c r="C39" s="36"/>
      <c r="D39" s="36"/>
      <c r="E39" s="38"/>
      <c r="F39" s="38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</row>
    <row r="40" spans="1:18" ht="12">
      <c r="A40" t="s">
        <v>266</v>
      </c>
      <c r="B40" s="38">
        <f>'Financial Statements'!B14/'Financial Statements'!B12</f>
        <v>1.0659574468085107</v>
      </c>
      <c r="C40" s="38">
        <f>'Financial Statements'!C14/'Financial Statements'!C12</f>
        <v>1.6804979253112033</v>
      </c>
      <c r="D40" s="38">
        <f>'Financial Statements'!D14/'Financial Statements'!D12</f>
        <v>1.6820809248554913</v>
      </c>
      <c r="E40" s="38">
        <f>'Financial Statements'!E14/'Financial Statements'!E12</f>
        <v>1.6824395373291272</v>
      </c>
      <c r="F40" s="38">
        <f>'Financial Statements'!F14/'Financial Statements'!F12</f>
        <v>1.6875</v>
      </c>
      <c r="G40" s="24">
        <f>'Financial Statements'!G14/'Financial Statements'!G12</f>
        <v>1.6875</v>
      </c>
      <c r="H40" s="24">
        <f>'Financial Statements'!H14/'Financial Statements'!H12</f>
        <v>1.6874999999999998</v>
      </c>
      <c r="I40" s="24">
        <f>'Financial Statements'!I14/'Financial Statements'!I12</f>
        <v>1.6875</v>
      </c>
      <c r="J40" s="24">
        <f>'Financial Statements'!J14/'Financial Statements'!J12</f>
        <v>1.6875</v>
      </c>
      <c r="K40" s="24">
        <f>'Financial Statements'!K14/'Financial Statements'!K12</f>
        <v>1.6874999999999998</v>
      </c>
      <c r="L40" s="24">
        <f>'Financial Statements'!L14/'Financial Statements'!L12</f>
        <v>1.6874999999999998</v>
      </c>
      <c r="M40" s="24">
        <f>'Financial Statements'!M14/'Financial Statements'!M12</f>
        <v>1.6875</v>
      </c>
      <c r="N40" s="24">
        <f>'Financial Statements'!N14/'Financial Statements'!N12</f>
        <v>1.6875</v>
      </c>
      <c r="O40" s="24">
        <f>'Financial Statements'!O14/'Financial Statements'!O12</f>
        <v>1.6875</v>
      </c>
      <c r="P40" s="24">
        <f>'Financial Statements'!P14/'Financial Statements'!P12</f>
        <v>1.6875</v>
      </c>
      <c r="Q40" s="24">
        <f>'Financial Statements'!Q14/'Financial Statements'!Q12</f>
        <v>1.6875</v>
      </c>
      <c r="R40" s="24">
        <f>'Financial Statements'!R14/'Financial Statements'!R12</f>
        <v>1.6875</v>
      </c>
    </row>
    <row r="41" spans="1:18" ht="12">
      <c r="A41" t="s">
        <v>237</v>
      </c>
      <c r="B41" s="38">
        <f>'Financial Statements'!B17/'Financial Statements'!B12</f>
        <v>1.2914893617021277</v>
      </c>
      <c r="C41" s="38">
        <f>'Financial Statements'!C17/'Financial Statements'!C12</f>
        <v>1.9019709543568464</v>
      </c>
      <c r="D41" s="38">
        <f>'Financial Statements'!D17/'Financial Statements'!D12</f>
        <v>1.90856542301629</v>
      </c>
      <c r="E41" s="38">
        <f>'Financial Statements'!E17/'Financial Statements'!E12</f>
        <v>1.9111461619348056</v>
      </c>
      <c r="F41" s="38">
        <f>'Financial Statements'!F17/'Financial Statements'!F12</f>
        <v>1.9192708333333333</v>
      </c>
      <c r="G41" s="24">
        <f>'Financial Statements'!G17/'Financial Statements'!G12</f>
        <v>1.9192708333333335</v>
      </c>
      <c r="H41" s="24">
        <f>'Financial Statements'!H17/'Financial Statements'!H12</f>
        <v>1.919270833333333</v>
      </c>
      <c r="I41" s="24">
        <f>'Financial Statements'!I17/'Financial Statements'!I12</f>
        <v>1.919270833333333</v>
      </c>
      <c r="J41" s="24">
        <f>'Financial Statements'!J17/'Financial Statements'!J12</f>
        <v>1.9192708333333335</v>
      </c>
      <c r="K41" s="24">
        <f>'Financial Statements'!K17/'Financial Statements'!K12</f>
        <v>1.9192708333333333</v>
      </c>
      <c r="L41" s="24">
        <f>'Financial Statements'!L17/'Financial Statements'!L12</f>
        <v>1.9192708333333333</v>
      </c>
      <c r="M41" s="24">
        <f>'Financial Statements'!M17/'Financial Statements'!M12</f>
        <v>1.9192708333333335</v>
      </c>
      <c r="N41" s="24">
        <f>'Financial Statements'!N17/'Financial Statements'!N12</f>
        <v>1.9192708333333333</v>
      </c>
      <c r="O41" s="24">
        <f>'Financial Statements'!O17/'Financial Statements'!O12</f>
        <v>1.9192708333333333</v>
      </c>
      <c r="P41" s="24">
        <f>'Financial Statements'!P17/'Financial Statements'!P12</f>
        <v>1.9192708333333335</v>
      </c>
      <c r="Q41" s="24">
        <f>'Financial Statements'!Q17/'Financial Statements'!Q12</f>
        <v>1.9192708333333333</v>
      </c>
      <c r="R41" s="24">
        <f>'Financial Statements'!R17/'Financial Statements'!R12</f>
        <v>1.9192708333333333</v>
      </c>
    </row>
    <row r="42" spans="1:18" ht="12">
      <c r="A42" t="s">
        <v>238</v>
      </c>
      <c r="B42" s="38">
        <f>'Financial Statements'!B19/'Financial Statements'!B12</f>
        <v>1.3328723404255318</v>
      </c>
      <c r="C42" s="38">
        <f>'Financial Statements'!C19/'Financial Statements'!C12</f>
        <v>1.9451763485477178</v>
      </c>
      <c r="D42" s="38">
        <f>'Financial Statements'!D19/'Financial Statements'!D12</f>
        <v>1.955281135049921</v>
      </c>
      <c r="E42" s="38">
        <f>'Financial Statements'!E19/'Financial Statements'!E12</f>
        <v>1.9577287066246056</v>
      </c>
      <c r="F42" s="38">
        <f>'Financial Statements'!F19/'Financial Statements'!F12</f>
        <v>1.9679166666666668</v>
      </c>
      <c r="G42" s="24">
        <f>'Financial Statements'!G19/'Financial Statements'!G12</f>
        <v>1.9670405709870058</v>
      </c>
      <c r="H42" s="24">
        <f>'Financial Statements'!H19/'Financial Statements'!H12</f>
        <v>1.9669968082701665</v>
      </c>
      <c r="I42" s="24">
        <f>'Financial Statements'!I19/'Financial Statements'!I12</f>
        <v>1.9669532065324895</v>
      </c>
      <c r="J42" s="24">
        <f>'Financial Statements'!J19/'Financial Statements'!J12</f>
        <v>1.9669097648873741</v>
      </c>
      <c r="K42" s="24">
        <f>'Financial Statements'!K19/'Financial Statements'!K12</f>
        <v>1.9668664824547166</v>
      </c>
      <c r="L42" s="24">
        <f>'Financial Statements'!L19/'Financial Statements'!L12</f>
        <v>1.9668233583608548</v>
      </c>
      <c r="M42" s="24">
        <f>'Financial Statements'!M19/'Financial Statements'!M12</f>
        <v>1.9667803917385056</v>
      </c>
      <c r="N42" s="24">
        <f>'Financial Statements'!N19/'Financial Statements'!N12</f>
        <v>1.9667375817267092</v>
      </c>
      <c r="O42" s="24">
        <f>'Financial Statements'!O19/'Financial Statements'!O12</f>
        <v>1.9666949274707701</v>
      </c>
      <c r="P42" s="24">
        <f>'Financial Statements'!P19/'Financial Statements'!P12</f>
        <v>1.9666524281222013</v>
      </c>
      <c r="Q42" s="24">
        <f>'Financial Statements'!Q19/'Financial Statements'!Q12</f>
        <v>1.9666100828386663</v>
      </c>
      <c r="R42" s="24">
        <f>'Financial Statements'!R19/'Financial Statements'!R12</f>
        <v>1.9666100828386666</v>
      </c>
    </row>
    <row r="43" spans="1:18" ht="12">
      <c r="A43" t="s">
        <v>352</v>
      </c>
      <c r="B43" s="38">
        <f>('Financial Statements'!B71-'Financial Statements'!B21*(1-'Forecasting Assumptions'!B21)-'Financial Statements'!B26-'Financial Statements'!B24)/'Financial Statements'!B12</f>
        <v>1.3667560206567677</v>
      </c>
      <c r="C43" s="38">
        <f>('Financial Statements'!C71-'Financial Statements'!C21*(1-'Forecasting Assumptions'!C21)-'Financial Statements'!C26-'Financial Statements'!C24)/'Financial Statements'!C12</f>
        <v>1.9735698396224266</v>
      </c>
      <c r="D43" s="38">
        <f>('Financial Statements'!D71-'Financial Statements'!D21*(1-'Forecasting Assumptions'!D21)-'Financial Statements'!D26-'Financial Statements'!D24)/'Financial Statements'!D12</f>
        <v>1.982000422458065</v>
      </c>
      <c r="E43" s="38">
        <f>('Financial Statements'!E71-'Financial Statements'!E21*(1-'Forecasting Assumptions'!E21)-'Financial Statements'!E26-'Financial Statements'!E24)/'Financial Statements'!E12</f>
        <v>1.981967108838601</v>
      </c>
      <c r="F43" s="38">
        <f>('Financial Statements'!F71-'Financial Statements'!F21*(1-'Forecasting Assumptions'!F21)-'Financial Statements'!F26-'Financial Statements'!F24)/'Financial Statements'!F12</f>
        <v>1.98720602749983</v>
      </c>
      <c r="G43" s="39">
        <f>('Financial Statements'!G71-'Financial Statements'!G21*(1-'Forecasting Assumptions'!G21)-'Financial Statements'!G26-'Financial Statements'!G24)/'Financial Statements'!G12</f>
        <v>1.986321344400805</v>
      </c>
      <c r="H43" s="39">
        <f>('Financial Statements'!H71-'Financial Statements'!H21*(1-'Forecasting Assumptions'!H21)-'Financial Statements'!H26-'Financial Statements'!H24)/'Financial Statements'!H12</f>
        <v>1.9862771527253364</v>
      </c>
      <c r="I43" s="39">
        <f>('Financial Statements'!I71-'Financial Statements'!I21*(1-'Forecasting Assumptions'!I21)-'Financial Statements'!I26-'Financial Statements'!I24)/'Financial Statements'!I12</f>
        <v>1.9862331236069348</v>
      </c>
      <c r="J43" s="39">
        <f>('Financial Statements'!J71-'Financial Statements'!J21*(1-'Forecasting Assumptions'!J21)-'Financial Statements'!J26-'Financial Statements'!J24)/'Financial Statements'!J12</f>
        <v>1.9861892561503096</v>
      </c>
      <c r="K43" s="39">
        <f>('Financial Statements'!K71-'Financial Statements'!K21*(1-'Forecasting Assumptions'!K21)-'Financial Statements'!K26-'Financial Statements'!K24)/'Financial Statements'!K12</f>
        <v>1.986145549466729</v>
      </c>
      <c r="L43" s="39">
        <f>('Financial Statements'!L71-'Financial Statements'!L21*(1-'Forecasting Assumptions'!L21)-'Financial Statements'!L26-'Financial Statements'!L24)/'Financial Statements'!L12</f>
        <v>1.986102002673969</v>
      </c>
      <c r="M43" s="39">
        <f>('Financial Statements'!M71-'Financial Statements'!M21*(1-'Forecasting Assumptions'!M21)-'Financial Statements'!M26-'Financial Statements'!M24)/'Financial Statements'!M12</f>
        <v>1.9860586148962447</v>
      </c>
      <c r="N43" s="39">
        <f>('Financial Statements'!N71-'Financial Statements'!N21*(1-'Forecasting Assumptions'!N21)-'Financial Statements'!N26-'Financial Statements'!N24)/'Financial Statements'!N12</f>
        <v>1.9860153852641573</v>
      </c>
      <c r="O43" s="39">
        <f>('Financial Statements'!O71-'Financial Statements'!O21*(1-'Forecasting Assumptions'!O21)-'Financial Statements'!O26-'Financial Statements'!O24)/'Financial Statements'!O12</f>
        <v>1.985972312914633</v>
      </c>
      <c r="P43" s="39">
        <f>('Financial Statements'!P71-'Financial Statements'!P21*(1-'Forecasting Assumptions'!P21)-'Financial Statements'!P26-'Financial Statements'!P24)/'Financial Statements'!P12</f>
        <v>1.9859293969908691</v>
      </c>
      <c r="Q43" s="39">
        <f>('Financial Statements'!Q71-'Financial Statements'!Q21*(1-'Forecasting Assumptions'!Q21)-'Financial Statements'!Q26-'Financial Statements'!Q24)/'Financial Statements'!Q12</f>
        <v>1.9858866366422716</v>
      </c>
      <c r="R43" s="39">
        <f>('Financial Statements'!R71-'Financial Statements'!R21*(1-'Forecasting Assumptions'!R21)-'Financial Statements'!R26-'Financial Statements'!R24)/'Financial Statements'!R12</f>
        <v>1.985886636642272</v>
      </c>
    </row>
    <row r="44" spans="1:18" ht="12">
      <c r="A44" t="s">
        <v>353</v>
      </c>
      <c r="B44" s="38">
        <f>'Financial Statements'!B71/'Financial Statements'!B12</f>
        <v>1.4682073016217925</v>
      </c>
      <c r="C44" s="38">
        <f>'Financial Statements'!C71/'Financial Statements'!C12</f>
        <v>2.0556637774356945</v>
      </c>
      <c r="D44" s="38">
        <f>'Financial Statements'!D71/'Financial Statements'!D12</f>
        <v>1.9894577596384277</v>
      </c>
      <c r="E44" s="38">
        <f>'Financial Statements'!E71/'Financial Statements'!E12</f>
        <v>2.053823795833233</v>
      </c>
      <c r="F44" s="38">
        <f>'Financial Statements'!F71/'Financial Statements'!F12</f>
        <v>2.0429555084745763</v>
      </c>
      <c r="G44" s="39">
        <f>'Financial Statements'!G71/'Financial Statements'!G12</f>
        <v>2.0420708253755513</v>
      </c>
      <c r="H44" s="39">
        <f>'Financial Statements'!H71/'Financial Statements'!H12</f>
        <v>2.042026633700083</v>
      </c>
      <c r="I44" s="39">
        <f>'Financial Statements'!I71/'Financial Statements'!I12</f>
        <v>2.041982604581681</v>
      </c>
      <c r="J44" s="39">
        <f>'Financial Statements'!J71/'Financial Statements'!J12</f>
        <v>2.041938737125056</v>
      </c>
      <c r="K44" s="39">
        <f>'Financial Statements'!K71/'Financial Statements'!K12</f>
        <v>2.041895030441476</v>
      </c>
      <c r="L44" s="39">
        <f>'Financial Statements'!L71/'Financial Statements'!L12</f>
        <v>2.0418514836487156</v>
      </c>
      <c r="M44" s="39">
        <f>'Financial Statements'!M71/'Financial Statements'!M12</f>
        <v>2.041808095870991</v>
      </c>
      <c r="N44" s="39">
        <f>'Financial Statements'!N71/'Financial Statements'!N12</f>
        <v>2.0417648662389034</v>
      </c>
      <c r="O44" s="39">
        <f>'Financial Statements'!O71/'Financial Statements'!O12</f>
        <v>2.0417217938893795</v>
      </c>
      <c r="P44" s="39">
        <f>'Financial Statements'!P71/'Financial Statements'!P12</f>
        <v>2.0416788779656154</v>
      </c>
      <c r="Q44" s="39">
        <f>'Financial Statements'!Q71/'Financial Statements'!Q12</f>
        <v>2.041636117617018</v>
      </c>
      <c r="R44" s="39">
        <f>'Financial Statements'!R71/'Financial Statements'!R12</f>
        <v>2.0416361176170184</v>
      </c>
    </row>
    <row r="45" spans="2:18" ht="12">
      <c r="B45" s="32"/>
      <c r="C45" s="32"/>
      <c r="D45" s="32"/>
      <c r="E45" s="38"/>
      <c r="F45" s="38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1:18" ht="12">
      <c r="A46" s="76" t="s">
        <v>223</v>
      </c>
      <c r="B46" s="36"/>
      <c r="C46" s="36"/>
      <c r="D46" s="36"/>
      <c r="E46" s="38"/>
      <c r="F46" s="38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1:18" ht="12">
      <c r="A47" t="s">
        <v>242</v>
      </c>
      <c r="B47" s="38"/>
      <c r="C47" s="38">
        <f>'Financial Statements'!C12/(('Financial Statements'!C75+'Financial Statements'!B75)/2)</f>
        <v>0.9085982233323122</v>
      </c>
      <c r="D47" s="38">
        <f>'Financial Statements'!D12/(('Financial Statements'!D75+'Financial Statements'!C75)/2)</f>
        <v>0.8692673122601864</v>
      </c>
      <c r="E47" s="38">
        <f>'Financial Statements'!E12/(('Financial Statements'!E75+'Financial Statements'!D75)/2)</f>
        <v>0.3843627802645273</v>
      </c>
      <c r="F47" s="38">
        <f>'Financial Statements'!F12/(('Financial Statements'!F75+'Financial Statements'!E75)/2)</f>
        <v>0.3871084811032592</v>
      </c>
      <c r="G47" s="39">
        <f>'Financial Statements'!G12/(('Financial Statements'!G75+'Financial Statements'!F75)/2)</f>
        <v>1.1824620919511823</v>
      </c>
      <c r="H47" s="39">
        <f>'Financial Statements'!H12/(('Financial Statements'!H75+'Financial Statements'!G75)/2)</f>
        <v>1.8946927753012939</v>
      </c>
      <c r="I47" s="39">
        <f>'Financial Statements'!I12/(('Financial Statements'!I75+'Financial Statements'!H75)/2)</f>
        <v>1.8964253211421152</v>
      </c>
      <c r="J47" s="39">
        <f>'Financial Statements'!J12/(('Financial Statements'!J75+'Financial Statements'!I75)/2)</f>
        <v>1.8981546595865832</v>
      </c>
      <c r="K47" s="39">
        <f>'Financial Statements'!K12/(('Financial Statements'!K75+'Financial Statements'!J75)/2)</f>
        <v>1.8998807995330584</v>
      </c>
      <c r="L47" s="39">
        <f>'Financial Statements'!L12/(('Financial Statements'!L75+'Financial Statements'!K75)/2)</f>
        <v>1.901603749847015</v>
      </c>
      <c r="M47" s="39">
        <f>'Financial Statements'!M12/(('Financial Statements'!M75+'Financial Statements'!L75)/2)</f>
        <v>1.903323519361194</v>
      </c>
      <c r="N47" s="39">
        <f>'Financial Statements'!N12/(('Financial Statements'!N75+'Financial Statements'!M75)/2)</f>
        <v>1.9050401168757536</v>
      </c>
      <c r="O47" s="39">
        <f>'Financial Statements'!O12/(('Financial Statements'!O75+'Financial Statements'!N75)/2)</f>
        <v>1.906753551158419</v>
      </c>
      <c r="P47" s="39">
        <f>'Financial Statements'!P12/(('Financial Statements'!P75+'Financial Statements'!O75)/2)</f>
        <v>1.9084638309446316</v>
      </c>
      <c r="Q47" s="39">
        <f>'Financial Statements'!Q12/(('Financial Statements'!Q75+'Financial Statements'!P75)/2)</f>
        <v>1.910170964937699</v>
      </c>
      <c r="R47" s="39">
        <f>'Financial Statements'!R12/(('Financial Statements'!R75+'Financial Statements'!Q75)/2)</f>
        <v>1.9101709649376994</v>
      </c>
    </row>
    <row r="48" spans="1:18" ht="12">
      <c r="A48" t="s">
        <v>262</v>
      </c>
      <c r="B48" s="32"/>
      <c r="C48" s="38">
        <f>'Financial Statements'!C12/(('Financial Statements'!B37-'Financial Statements'!B48+'Financial Statements'!B44+'Financial Statements'!C37-'Financial Statements'!C48+'Financial Statements'!C44)/2)</f>
        <v>22.735849056603772</v>
      </c>
      <c r="D48" s="38">
        <f>'Financial Statements'!D12/(('Financial Statements'!C37-'Financial Statements'!C48+'Financial Statements'!C44+'Financial Statements'!D37-'Financial Statements'!D48+'Financial Statements'!D44)/2)</f>
        <v>7.654867256637168</v>
      </c>
      <c r="E48" s="38">
        <f>'Financial Statements'!E12/(('Financial Statements'!D37-'Financial Statements'!D48+'Financial Statements'!D44+'Financial Statements'!E37-'Financial Statements'!E48+'Financial Statements'!E44)/2)</f>
        <v>-7.913459538173497</v>
      </c>
      <c r="F48" s="38">
        <f>'Financial Statements'!F12/(('Financial Statements'!E37-'Financial Statements'!E48+'Financial Statements'!E44+'Financial Statements'!F37-'Financial Statements'!F48+'Financial Statements'!F44)/2)</f>
        <v>-7.675394763142115</v>
      </c>
      <c r="G48" s="24">
        <f>'Financial Statements'!G12/(('Financial Statements'!F37-'Financial Statements'!F48+'Financial Statements'!F44+'Financial Statements'!G37-'Financial Statements'!G48+'Financial Statements'!G44)/2)</f>
        <v>7.7605150859942755</v>
      </c>
      <c r="H48" s="24">
        <f>'Financial Statements'!H12/(('Financial Statements'!G37-'Financial Statements'!G48+'Financial Statements'!G44+'Financial Statements'!H37-'Financial Statements'!H48+'Financial Statements'!H44)/2)</f>
        <v>7.76763115276254</v>
      </c>
      <c r="I48" s="24">
        <f>'Financial Statements'!I12/(('Financial Statements'!H37-'Financial Statements'!H48+'Financial Statements'!H44+'Financial Statements'!I37-'Financial Statements'!I48+'Financial Statements'!I44)/2)</f>
        <v>7.774734033621211</v>
      </c>
      <c r="J48" s="24">
        <f>'Financial Statements'!J12/(('Financial Statements'!I37-'Financial Statements'!I48+'Financial Statements'!I44+'Financial Statements'!J37-'Financial Statements'!J48+'Financial Statements'!J44)/2)</f>
        <v>7.781823765186155</v>
      </c>
      <c r="K48" s="24">
        <f>'Financial Statements'!K12/(('Financial Statements'!J37-'Financial Statements'!J48+'Financial Statements'!J44+'Financial Statements'!K37-'Financial Statements'!K48+'Financial Statements'!K44)/2)</f>
        <v>7.78890038393778</v>
      </c>
      <c r="L48" s="24">
        <f>'Financial Statements'!L12/(('Financial Statements'!K37-'Financial Statements'!K48+'Financial Statements'!K44+'Financial Statements'!L37-'Financial Statements'!L48+'Financial Statements'!L44)/2)</f>
        <v>7.7959639262216855</v>
      </c>
      <c r="M48" s="24">
        <f>'Financial Statements'!M12/(('Financial Statements'!L37-'Financial Statements'!L48+'Financial Statements'!L44+'Financial Statements'!M37-'Financial Statements'!M48+'Financial Statements'!M44)/2)</f>
        <v>7.803014428249269</v>
      </c>
      <c r="N48" s="24">
        <f>'Financial Statements'!N12/(('Financial Statements'!M37-'Financial Statements'!M48+'Financial Statements'!M44+'Financial Statements'!N37-'Financial Statements'!N48+'Financial Statements'!N44)/2)</f>
        <v>7.810051926098349</v>
      </c>
      <c r="O48" s="24">
        <f>'Financial Statements'!O12/(('Financial Statements'!N37-'Financial Statements'!N48+'Financial Statements'!N44+'Financial Statements'!O37-'Financial Statements'!O48+'Financial Statements'!O44)/2)</f>
        <v>7.817076455713777</v>
      </c>
      <c r="P48" s="24">
        <f>'Financial Statements'!P12/(('Financial Statements'!O37-'Financial Statements'!O48+'Financial Statements'!O44+'Financial Statements'!P37-'Financial Statements'!P48+'Financial Statements'!P44)/2)</f>
        <v>7.824088052908057</v>
      </c>
      <c r="Q48" s="24">
        <f>'Financial Statements'!Q12/(('Financial Statements'!P37-'Financial Statements'!P48+'Financial Statements'!P44+'Financial Statements'!Q37-'Financial Statements'!Q48+'Financial Statements'!Q44)/2)</f>
        <v>7.831086753361952</v>
      </c>
      <c r="R48" s="24">
        <f>'Financial Statements'!R12/(('Financial Statements'!Q37-'Financial Statements'!Q48+'Financial Statements'!Q44+'Financial Statements'!R37-'Financial Statements'!R48+'Financial Statements'!R44)/2)</f>
        <v>7.831086753361952</v>
      </c>
    </row>
    <row r="49" spans="1:18" ht="12">
      <c r="A49" t="s">
        <v>151</v>
      </c>
      <c r="B49" s="32"/>
      <c r="C49" s="38">
        <f>365*((('Financial Statements'!B34+'Financial Statements'!C34)/2)/'Financial Statements'!C12)</f>
        <v>0</v>
      </c>
      <c r="D49" s="38">
        <f>365*((('Financial Statements'!C34+'Financial Statements'!D34)/2)/'Financial Statements'!D12)</f>
        <v>0</v>
      </c>
      <c r="E49" s="38">
        <f>365*((('Financial Statements'!D34+'Financial Statements'!E34)/2)/'Financial Statements'!E12)</f>
        <v>0.23987907465825448</v>
      </c>
      <c r="F49" s="38">
        <f>365*((('Financial Statements'!E34+'Financial Statements'!F34)/2)/'Financial Statements'!F12)</f>
        <v>0.48476562500000003</v>
      </c>
      <c r="G49" s="24">
        <f>365*((('Financial Statements'!F34+'Financial Statements'!G34)/2)/'Financial Statements'!G12)</f>
        <v>0.49150199946854917</v>
      </c>
      <c r="H49" s="24">
        <f>365*((('Financial Statements'!G34+'Financial Statements'!H34)/2)/'Financial Statements'!H12)</f>
        <v>0.4910517256365187</v>
      </c>
      <c r="I49" s="24">
        <f>365*((('Financial Statements'!H34+'Financial Statements'!I34)/2)/'Financial Statements'!I12)</f>
        <v>0.4906031081162847</v>
      </c>
      <c r="J49" s="24">
        <f>365*((('Financial Statements'!I34+'Financial Statements'!J34)/2)/'Financial Statements'!J12)</f>
        <v>0.4901561377856237</v>
      </c>
      <c r="K49" s="24">
        <f>365*((('Financial Statements'!J34+'Financial Statements'!K34)/2)/'Financial Statements'!K12)</f>
        <v>0.4897108055891778</v>
      </c>
      <c r="L49" s="24">
        <f>365*((('Financial Statements'!K34+'Financial Statements'!L34)/2)/'Financial Statements'!L12)</f>
        <v>0.48926710253784245</v>
      </c>
      <c r="M49" s="24">
        <f>365*((('Financial Statements'!L34+'Financial Statements'!M34)/2)/'Financial Statements'!M12)</f>
        <v>0.4888250197081626</v>
      </c>
      <c r="N49" s="24">
        <f>365*((('Financial Statements'!M34+'Financial Statements'!N34)/2)/'Financial Statements'!N12)</f>
        <v>0.48838454824173405</v>
      </c>
      <c r="O49" s="24">
        <f>365*((('Financial Statements'!N34+'Financial Statements'!O34)/2)/'Financial Statements'!O12)</f>
        <v>0.4879456793446115</v>
      </c>
      <c r="P49" s="24">
        <f>365*((('Financial Statements'!O34+'Financial Statements'!P34)/2)/'Financial Statements'!P12)</f>
        <v>0.48750840428672376</v>
      </c>
      <c r="Q49" s="24">
        <f>365*((('Financial Statements'!P34+'Financial Statements'!Q34)/2)/'Financial Statements'!Q12)</f>
        <v>0.4870727144012945</v>
      </c>
      <c r="R49" s="24">
        <f>365*((('Financial Statements'!Q34+'Financial Statements'!R34)/2)/'Financial Statements'!R12)</f>
        <v>0.4870727144012944</v>
      </c>
    </row>
    <row r="50" spans="1:18" ht="12">
      <c r="A50" t="s">
        <v>197</v>
      </c>
      <c r="B50" s="32"/>
      <c r="C50" s="38">
        <f>-365*((('Financial Statements'!B35+'Financial Statements'!C35)/2)/'Financial Statements'!C13)</f>
        <v>-56.61394817073171</v>
      </c>
      <c r="D50" s="38">
        <f>-365*((('Financial Statements'!C35+'Financial Statements'!D35)/2)/'Financial Statements'!D13)</f>
        <v>-107.13790446841296</v>
      </c>
      <c r="E50" s="38">
        <f>-365*((('Financial Statements'!D35+'Financial Statements'!E35)/2)/'Financial Statements'!E13)</f>
        <v>-107.98151001540833</v>
      </c>
      <c r="F50" s="38">
        <f>-365*((('Financial Statements'!E35+'Financial Statements'!F35)/2)/'Financial Statements'!F13)</f>
        <v>-108.53219696969697</v>
      </c>
      <c r="G50" s="24">
        <f>-365*((('Financial Statements'!F35+'Financial Statements'!G35)/2)/'Financial Statements'!G13)</f>
        <v>-111.08632603373083</v>
      </c>
      <c r="H50" s="24">
        <f>-365*((('Financial Statements'!G35+'Financial Statements'!H35)/2)/'Financial Statements'!H13)</f>
        <v>-110.98455785015584</v>
      </c>
      <c r="I50" s="24">
        <f>-365*((('Financial Statements'!H35+'Financial Statements'!I35)/2)/'Financial Statements'!I13)</f>
        <v>-110.88316401621204</v>
      </c>
      <c r="J50" s="24">
        <f>-365*((('Financial Statements'!I35+'Financial Statements'!J35)/2)/'Financial Statements'!J13)</f>
        <v>-110.78214247014937</v>
      </c>
      <c r="K50" s="24">
        <f>-365*((('Financial Statements'!J35+'Financial Statements'!K35)/2)/'Financial Statements'!K13)</f>
        <v>-110.68149116533024</v>
      </c>
      <c r="L50" s="24">
        <f>-365*((('Financial Statements'!K35+'Financial Statements'!L35)/2)/'Financial Statements'!L13)</f>
        <v>-110.58120807009138</v>
      </c>
      <c r="M50" s="24">
        <f>-365*((('Financial Statements'!L35+'Financial Statements'!M35)/2)/'Financial Statements'!M13)</f>
        <v>-110.48129116760711</v>
      </c>
      <c r="N50" s="24">
        <f>-365*((('Financial Statements'!M35+'Financial Statements'!N35)/2)/'Financial Statements'!N13)</f>
        <v>-110.38173845575413</v>
      </c>
      <c r="O50" s="24">
        <f>-365*((('Financial Statements'!N35+'Financial Statements'!O35)/2)/'Financial Statements'!O13)</f>
        <v>-110.28254794697793</v>
      </c>
      <c r="P50" s="24">
        <f>-365*((('Financial Statements'!O35+'Financial Statements'!P35)/2)/'Financial Statements'!P13)</f>
        <v>-110.18371766816023</v>
      </c>
      <c r="Q50" s="24">
        <f>-365*((('Financial Statements'!P35+'Financial Statements'!Q35)/2)/'Financial Statements'!Q13)</f>
        <v>-110.08524566048835</v>
      </c>
      <c r="R50" s="24">
        <f>-365*((('Financial Statements'!Q35+'Financial Statements'!R35)/2)/'Financial Statements'!R13)</f>
        <v>-110.08524566048835</v>
      </c>
    </row>
    <row r="51" spans="1:18" ht="12">
      <c r="A51" t="s">
        <v>198</v>
      </c>
      <c r="B51" s="32"/>
      <c r="C51" s="38">
        <f>365*((('Financial Statements'!B45+'Financial Statements'!C45)/2)/(-'Financial Statements'!C13+'Financial Statements'!C35-'Financial Statements'!B35))</f>
        <v>-47.83797729618163</v>
      </c>
      <c r="D51" s="38">
        <f>365*((('Financial Statements'!C45+'Financial Statements'!D45)/2)/(-'Financial Statements'!D13+'Financial Statements'!D35-'Financial Statements'!C35))</f>
        <v>-38.03265940902022</v>
      </c>
      <c r="E51" s="38">
        <f>365*((('Financial Statements'!D45+'Financial Statements'!E45)/2)/(-'Financial Statements'!E13+'Financial Statements'!E35-'Financial Statements'!D35))</f>
        <v>-40.306748466257666</v>
      </c>
      <c r="F51" s="38">
        <f>365*((('Financial Statements'!E45+'Financial Statements'!F45)/2)/(-'Financial Statements'!F13+'Financial Statements'!F35-'Financial Statements'!E35))</f>
        <v>-38.83577486507325</v>
      </c>
      <c r="G51" s="39">
        <f>365*((('Financial Statements'!F45+'Financial Statements'!G45)/2)/(-'Financial Statements'!G13+'Financial Statements'!G35-'Financial Statements'!F35))</f>
        <v>-34.489032592529504</v>
      </c>
      <c r="H51" s="39">
        <f>365*((('Financial Statements'!G45+'Financial Statements'!H45)/2)/(-'Financial Statements'!H13+'Financial Statements'!H35-'Financial Statements'!G35))</f>
        <v>-34.476728111478074</v>
      </c>
      <c r="I51" s="39">
        <f>365*((('Financial Statements'!H45+'Financial Statements'!I45)/2)/(-'Financial Statements'!I13+'Financial Statements'!I35-'Financial Statements'!H35))</f>
        <v>-34.46445518246277</v>
      </c>
      <c r="J51" s="39">
        <f>365*((('Financial Statements'!I45+'Financial Statements'!J45)/2)/(-'Financial Statements'!J13+'Financial Statements'!J35-'Financial Statements'!I35))</f>
        <v>-34.45221368427699</v>
      </c>
      <c r="K51" s="39">
        <f>365*((('Financial Statements'!J45+'Financial Statements'!K45)/2)/(-'Financial Statements'!K13+'Financial Statements'!K35-'Financial Statements'!J35))</f>
        <v>-34.44000349633418</v>
      </c>
      <c r="L51" s="39">
        <f>365*((('Financial Statements'!K45+'Financial Statements'!L45)/2)/(-'Financial Statements'!L13+'Financial Statements'!L35-'Financial Statements'!K35))</f>
        <v>-34.4278244986638</v>
      </c>
      <c r="M51" s="39">
        <f>365*((('Financial Statements'!L45+'Financial Statements'!M45)/2)/(-'Financial Statements'!M13+'Financial Statements'!M35-'Financial Statements'!L35))</f>
        <v>-34.41567657190748</v>
      </c>
      <c r="N51" s="39">
        <f>365*((('Financial Statements'!M45+'Financial Statements'!N45)/2)/(-'Financial Statements'!N13+'Financial Statements'!N35-'Financial Statements'!M35))</f>
        <v>-34.40355959731509</v>
      </c>
      <c r="O51" s="39">
        <f>365*((('Financial Statements'!N45+'Financial Statements'!O45)/2)/(-'Financial Statements'!O13+'Financial Statements'!O35-'Financial Statements'!N35))</f>
        <v>-34.39147345674082</v>
      </c>
      <c r="P51" s="39">
        <f>365*((('Financial Statements'!O45+'Financial Statements'!P45)/2)/(-'Financial Statements'!P13+'Financial Statements'!P35-'Financial Statements'!O35))</f>
        <v>-34.379418032639464</v>
      </c>
      <c r="Q51" s="39">
        <f>365*((('Financial Statements'!P45+'Financial Statements'!Q45)/2)/(-'Financial Statements'!Q13+'Financial Statements'!Q35-'Financial Statements'!P35))</f>
        <v>-34.36739320806246</v>
      </c>
      <c r="R51" s="39">
        <f>365*((('Financial Statements'!Q45+'Financial Statements'!R45)/2)/(-'Financial Statements'!R13+'Financial Statements'!R35-'Financial Statements'!Q35))</f>
        <v>-34.36739320806245</v>
      </c>
    </row>
    <row r="52" spans="1:18" ht="12">
      <c r="A52" t="s">
        <v>199</v>
      </c>
      <c r="B52" s="32"/>
      <c r="C52" s="38">
        <f>'Financial Statements'!C12/(('Financial Statements'!B38+'Financial Statements'!C38)/2)</f>
        <v>2.168728908886389</v>
      </c>
      <c r="D52" s="38">
        <f>'Financial Statements'!D12/(('Financial Statements'!C38+'Financial Statements'!D38)/2)</f>
        <v>2.1600454029511917</v>
      </c>
      <c r="E52" s="38">
        <f>'Financial Statements'!E12/(('Financial Statements'!D38+'Financial Statements'!E38)/2)</f>
        <v>2.202663578459757</v>
      </c>
      <c r="F52" s="38">
        <f>'Financial Statements'!F12/(('Financial Statements'!E38+'Financial Statements'!F38)/2)</f>
        <v>2.2816399286987523</v>
      </c>
      <c r="G52" s="24">
        <f>'Financial Statements'!G12/(('Financial Statements'!F38+'Financial Statements'!G38)/2)</f>
        <v>2.323485142473376</v>
      </c>
      <c r="H52" s="24">
        <f>'Financial Statements'!H12/(('Financial Statements'!G38+'Financial Statements'!H38)/2)</f>
        <v>2.3256156808752344</v>
      </c>
      <c r="I52" s="24">
        <f>'Financial Statements'!I12/(('Financial Statements'!H38+'Financial Statements'!I38)/2)</f>
        <v>2.3277422714379754</v>
      </c>
      <c r="J52" s="24">
        <f>'Financial Statements'!J12/(('Financial Statements'!I38+'Financial Statements'!J38)/2)</f>
        <v>2.329864925124326</v>
      </c>
      <c r="K52" s="24">
        <f>'Financial Statements'!K12/(('Financial Statements'!J38+'Financial Statements'!K38)/2)</f>
        <v>2.3319836528564615</v>
      </c>
      <c r="L52" s="24">
        <f>'Financial Statements'!L12/(('Financial Statements'!K38+'Financial Statements'!L38)/2)</f>
        <v>2.334098465516192</v>
      </c>
      <c r="M52" s="24">
        <f>'Financial Statements'!M12/(('Financial Statements'!L38+'Financial Statements'!M38)/2)</f>
        <v>2.3362093739451484</v>
      </c>
      <c r="N52" s="24">
        <f>'Financial Statements'!N12/(('Financial Statements'!M38+'Financial Statements'!N38)/2)</f>
        <v>2.338316388944968</v>
      </c>
      <c r="O52" s="24">
        <f>'Financial Statements'!O12/(('Financial Statements'!N38+'Financial Statements'!O38)/2)</f>
        <v>2.3404195212774814</v>
      </c>
      <c r="P52" s="24">
        <f>'Financial Statements'!P12/(('Financial Statements'!O38+'Financial Statements'!P38)/2)</f>
        <v>2.3425187816648907</v>
      </c>
      <c r="Q52" s="24">
        <f>'Financial Statements'!Q12/(('Financial Statements'!P38+'Financial Statements'!Q38)/2)</f>
        <v>2.3446141807899554</v>
      </c>
      <c r="R52" s="24">
        <f>'Financial Statements'!R12/(('Financial Statements'!Q38+'Financial Statements'!R38)/2)</f>
        <v>2.344614180789956</v>
      </c>
    </row>
    <row r="53" spans="2:18" ht="12">
      <c r="B53" s="32"/>
      <c r="C53" s="32"/>
      <c r="D53" s="32"/>
      <c r="E53" s="38"/>
      <c r="F53" s="38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</row>
    <row r="54" spans="1:18" ht="12">
      <c r="A54" s="76" t="s">
        <v>365</v>
      </c>
      <c r="B54" s="36"/>
      <c r="C54" s="36"/>
      <c r="D54" s="36"/>
      <c r="E54" s="38"/>
      <c r="F54" s="38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</row>
    <row r="55" spans="1:18" ht="12">
      <c r="A55" s="225" t="s">
        <v>265</v>
      </c>
      <c r="B55" s="36"/>
      <c r="C55" s="36"/>
      <c r="D55" s="36"/>
      <c r="E55" s="38"/>
      <c r="F55" s="38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pans="1:18" ht="12">
      <c r="A56" t="s">
        <v>351</v>
      </c>
      <c r="B56" s="38">
        <f>('Financial Statements'!B44+'Financial Statements'!B49)/('Financial Statements'!B57)</f>
        <v>0.2539796529024536</v>
      </c>
      <c r="C56" s="38">
        <f>('Financial Statements'!C44+'Financial Statements'!C49)/('Financial Statements'!C57)</f>
        <v>0.2690490253987005</v>
      </c>
      <c r="D56" s="38">
        <f>('Financial Statements'!D44+'Financial Statements'!D49)/('Financial Statements'!D57)</f>
        <v>0.27861238532110094</v>
      </c>
      <c r="E56" s="38">
        <f>('Financial Statements'!E44+'Financial Statements'!E49)/('Financial Statements'!E57)</f>
        <v>0.06619385342789598</v>
      </c>
      <c r="F56" s="38">
        <f>('Financial Statements'!F44+'Financial Statements'!F49)/('Financial Statements'!F57)</f>
        <v>0.2641414141414141</v>
      </c>
      <c r="G56" s="39">
        <f>('Financial Statements'!G44+'Financial Statements'!G49)/('Financial Statements'!G57)</f>
        <v>0.8569087930092844</v>
      </c>
      <c r="H56" s="39">
        <f>('Financial Statements'!H44+'Financial Statements'!H49)/('Financial Statements'!H57)</f>
        <v>0.8569087930092845</v>
      </c>
      <c r="I56" s="39">
        <f>('Financial Statements'!I44+'Financial Statements'!I49)/('Financial Statements'!I57)</f>
        <v>0.8569087930092847</v>
      </c>
      <c r="J56" s="39">
        <f>('Financial Statements'!J44+'Financial Statements'!J49)/('Financial Statements'!J57)</f>
        <v>0.8569087930092845</v>
      </c>
      <c r="K56" s="39">
        <f>('Financial Statements'!K44+'Financial Statements'!K49)/('Financial Statements'!K57)</f>
        <v>0.8569087930092846</v>
      </c>
      <c r="L56" s="39">
        <f>('Financial Statements'!L44+'Financial Statements'!L49)/('Financial Statements'!L57)</f>
        <v>0.8569087930092845</v>
      </c>
      <c r="M56" s="39">
        <f>('Financial Statements'!M44+'Financial Statements'!M49)/('Financial Statements'!M57)</f>
        <v>0.8569087930092845</v>
      </c>
      <c r="N56" s="39">
        <f>('Financial Statements'!N44+'Financial Statements'!N49)/('Financial Statements'!N57)</f>
        <v>0.8569087930092848</v>
      </c>
      <c r="O56" s="39">
        <f>('Financial Statements'!O44+'Financial Statements'!O49)/('Financial Statements'!O57)</f>
        <v>0.8569087930092844</v>
      </c>
      <c r="P56" s="39">
        <f>('Financial Statements'!P44+'Financial Statements'!P49)/('Financial Statements'!P57)</f>
        <v>0.8569087930092841</v>
      </c>
      <c r="Q56" s="39">
        <f>('Financial Statements'!Q44+'Financial Statements'!Q49)/('Financial Statements'!Q57)</f>
        <v>0.8569087930092846</v>
      </c>
      <c r="R56" s="39">
        <f>('Financial Statements'!R44+'Financial Statements'!R49)/('Financial Statements'!R57)</f>
        <v>0.8569087930092844</v>
      </c>
    </row>
    <row r="57" spans="1:18" ht="12">
      <c r="A57" t="s">
        <v>283</v>
      </c>
      <c r="B57" s="38"/>
      <c r="C57" s="38">
        <f>'Cash Flow Analysis'!B17/(('Financial Statements'!C44+'Financial Statements'!C49+'Financial Statements'!B44+'Financial Statements'!B49)/2)</f>
        <v>8.901466075690418</v>
      </c>
      <c r="D57" s="38">
        <f>'Cash Flow Analysis'!C17/(('Financial Statements'!D44+'Financial Statements'!D49+'Financial Statements'!C44+'Financial Statements'!C49)/2)</f>
        <v>7.941576375610793</v>
      </c>
      <c r="E57" s="38">
        <f>'Cash Flow Analysis'!D17/(('Financial Statements'!E44+'Financial Statements'!E49+'Financial Statements'!D44+'Financial Statements'!D49)/2)</f>
        <v>8.00810895103441</v>
      </c>
      <c r="F57" s="38">
        <f>'Cash Flow Analysis'!E17/(('Financial Statements'!F44+'Financial Statements'!F49+'Financial Statements'!E44+'Financial Statements'!E49)/2)</f>
        <v>8.136896588148305</v>
      </c>
      <c r="G57" s="39">
        <f>'Cash Flow Analysis'!F17/(('Financial Statements'!G44+'Financial Statements'!G49+'Financial Statements'!F44+'Financial Statements'!F49)/2)</f>
        <v>8.253431845889423</v>
      </c>
      <c r="H57" s="39">
        <f>'Cash Flow Analysis'!G17/(('Financial Statements'!H44+'Financial Statements'!H49+'Financial Statements'!G44+'Financial Statements'!G49)/2)</f>
        <v>8.261252675096246</v>
      </c>
      <c r="I57" s="39">
        <f>'Cash Flow Analysis'!H17/(('Financial Statements'!I44+'Financial Statements'!I49+'Financial Statements'!H44+'Financial Statements'!H49)/2)</f>
        <v>8.269059012484734</v>
      </c>
      <c r="J57" s="39">
        <f>'Cash Flow Analysis'!I17/(('Financial Statements'!J44+'Financial Statements'!J49+'Financial Statements'!I44+'Financial Statements'!I49)/2)</f>
        <v>8.276850898297123</v>
      </c>
      <c r="K57" s="39">
        <f>'Cash Flow Analysis'!J17/(('Financial Statements'!K44+'Financial Statements'!K49+'Financial Statements'!J44+'Financial Statements'!J49)/2)</f>
        <v>8.284628372626777</v>
      </c>
      <c r="L57" s="39">
        <f>'Cash Flow Analysis'!K17/(('Financial Statements'!L44+'Financial Statements'!L49+'Financial Statements'!K44+'Financial Statements'!K49)/2)</f>
        <v>8.29239147541889</v>
      </c>
      <c r="M57" s="39">
        <f>'Cash Flow Analysis'!L17/(('Financial Statements'!M44+'Financial Statements'!M49+'Financial Statements'!L44+'Financial Statements'!L49)/2)</f>
        <v>8.300140246471184</v>
      </c>
      <c r="N57" s="39">
        <f>'Cash Flow Analysis'!M17/(('Financial Statements'!N44+'Financial Statements'!N49+'Financial Statements'!M44+'Financial Statements'!M49)/2)</f>
        <v>8.307874725434546</v>
      </c>
      <c r="O57" s="39">
        <f>'Cash Flow Analysis'!N17/(('Financial Statements'!O44+'Financial Statements'!O49+'Financial Statements'!N44+'Financial Statements'!N49)/2)</f>
        <v>8.31559495181375</v>
      </c>
      <c r="P57" s="39">
        <f>'Cash Flow Analysis'!O17/(('Financial Statements'!P44+'Financial Statements'!P49+'Financial Statements'!O44+'Financial Statements'!O49)/2)</f>
        <v>8.323300964968107</v>
      </c>
      <c r="Q57" s="39">
        <f>'Cash Flow Analysis'!P17/(('Financial Statements'!Q44+'Financial Statements'!Q49+'Financial Statements'!P44+'Financial Statements'!P49)/2)</f>
        <v>8.330992804112126</v>
      </c>
      <c r="R57" s="39">
        <f>'Cash Flow Analysis'!Q17/(('Financial Statements'!R44+'Financial Statements'!R49+'Financial Statements'!Q44+'Financial Statements'!Q49)/2)</f>
        <v>8.33099280411213</v>
      </c>
    </row>
    <row r="58" spans="1:18" ht="12">
      <c r="A58" t="s">
        <v>284</v>
      </c>
      <c r="B58" s="38"/>
      <c r="C58" s="38">
        <f>'Cash Flow Analysis'!B24/(('Financial Statements'!C44+'Financial Statements'!C49+'Financial Statements'!B44+'Financial Statements'!B49)/2)</f>
        <v>8.09387430389817</v>
      </c>
      <c r="D58" s="38">
        <f>'Cash Flow Analysis'!C24/(('Financial Statements'!D44+'Financial Statements'!D49+'Financial Statements'!C44+'Financial Statements'!C49)/2)</f>
        <v>7.949649458253664</v>
      </c>
      <c r="E58" s="38">
        <f>'Cash Flow Analysis'!D24/(('Financial Statements'!E44+'Financial Statements'!E49+'Financial Statements'!D44+'Financial Statements'!D49)/2)</f>
        <v>10.21499116332259</v>
      </c>
      <c r="F58" s="38">
        <f>'Cash Flow Analysis'!E24/(('Financial Statements'!F44+'Financial Statements'!F49+'Financial Statements'!E44+'Financial Statements'!E49)/2)</f>
        <v>5.8802154853702335</v>
      </c>
      <c r="G58" s="39">
        <f>'Cash Flow Analysis'!F24/(('Financial Statements'!G44+'Financial Statements'!G49+'Financial Statements'!F44+'Financial Statements'!F49)/2)</f>
        <v>8.249168787059231</v>
      </c>
      <c r="H58" s="39">
        <f>'Cash Flow Analysis'!G24/(('Financial Statements'!H44+'Financial Statements'!H49+'Financial Statements'!G44+'Financial Statements'!G49)/2)</f>
        <v>8.256291803551244</v>
      </c>
      <c r="I58" s="39">
        <f>'Cash Flow Analysis'!H24/(('Financial Statements'!I44+'Financial Statements'!I49+'Financial Statements'!H44+'Financial Statements'!H49)/2)</f>
        <v>8.26340162125598</v>
      </c>
      <c r="J58" s="39">
        <f>'Cash Flow Analysis'!I24/(('Financial Statements'!J44+'Financial Statements'!J49+'Financial Statements'!I44+'Financial Statements'!I49)/2)</f>
        <v>8.270498276825075</v>
      </c>
      <c r="K58" s="39">
        <f>'Cash Flow Analysis'!J24/(('Financial Statements'!K44+'Financial Statements'!K49+'Financial Statements'!J44+'Financial Statements'!J49)/2)</f>
        <v>8.277581806774556</v>
      </c>
      <c r="L58" s="39">
        <f>'Cash Flow Analysis'!K24/(('Financial Statements'!L44+'Financial Statements'!L49+'Financial Statements'!K44+'Financial Statements'!K49)/2)</f>
        <v>8.28465224748552</v>
      </c>
      <c r="M58" s="39">
        <f>'Cash Flow Analysis'!L24/(('Financial Statements'!M44+'Financial Statements'!M49+'Financial Statements'!L44+'Financial Statements'!L49)/2)</f>
        <v>8.291709635204732</v>
      </c>
      <c r="N58" s="39">
        <f>'Cash Flow Analysis'!M24/(('Financial Statements'!N44+'Financial Statements'!N49+'Financial Statements'!M44+'Financial Statements'!M49)/2)</f>
        <v>8.298754006045243</v>
      </c>
      <c r="O58" s="39">
        <f>'Cash Flow Analysis'!N24/(('Financial Statements'!O44+'Financial Statements'!O49+'Financial Statements'!N44+'Financial Statements'!N49)/2)</f>
        <v>8.305785395987009</v>
      </c>
      <c r="P58" s="39">
        <f>'Cash Flow Analysis'!O24/(('Financial Statements'!P44+'Financial Statements'!P49+'Financial Statements'!O44+'Financial Statements'!O49)/2)</f>
        <v>8.312803840877516</v>
      </c>
      <c r="Q58" s="39">
        <f>'Cash Flow Analysis'!P24/(('Financial Statements'!Q44+'Financial Statements'!Q49+'Financial Statements'!P44+'Financial Statements'!P49)/2)</f>
        <v>8.319809376432358</v>
      </c>
      <c r="R58" s="39">
        <f>'Cash Flow Analysis'!Q24/(('Financial Statements'!R44+'Financial Statements'!R49+'Financial Statements'!Q44+'Financial Statements'!Q49)/2)</f>
        <v>8.319809376432362</v>
      </c>
    </row>
    <row r="59" spans="2:18" ht="12">
      <c r="B59" s="32"/>
      <c r="C59" s="32"/>
      <c r="D59" s="32"/>
      <c r="E59" s="38"/>
      <c r="F59" s="38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1:18" ht="12">
      <c r="A60" s="76" t="s">
        <v>365</v>
      </c>
      <c r="B60" s="36"/>
      <c r="C60" s="36"/>
      <c r="D60" s="36"/>
      <c r="E60" s="38"/>
      <c r="F60" s="38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1:18" ht="12">
      <c r="A61" s="225" t="s">
        <v>366</v>
      </c>
      <c r="B61" s="36"/>
      <c r="C61" s="36"/>
      <c r="D61" s="36"/>
      <c r="E61" s="38"/>
      <c r="F61" s="38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</row>
    <row r="62" spans="1:18" ht="12">
      <c r="A62" s="25" t="s">
        <v>200</v>
      </c>
      <c r="B62" s="38">
        <f>'Financial Statements'!B37/'Financial Statements'!B48</f>
        <v>0.7348279860842675</v>
      </c>
      <c r="C62" s="38">
        <f>'Financial Statements'!C37/'Financial Statements'!C48</f>
        <v>1.8601260835303388</v>
      </c>
      <c r="D62" s="38">
        <f>'Financial Statements'!D37/'Financial Statements'!D48</f>
        <v>1.927816259569814</v>
      </c>
      <c r="E62" s="38">
        <f>'Financial Statements'!E37/'Financial Statements'!E48</f>
        <v>0.4284102872612423</v>
      </c>
      <c r="F62" s="38">
        <f>'Financial Statements'!F37/'Financial Statements'!F48</f>
        <v>1.8689731321310268</v>
      </c>
      <c r="G62" s="24">
        <f>'Financial Statements'!G37/'Financial Statements'!G48</f>
        <v>1.8689731321310268</v>
      </c>
      <c r="H62" s="24">
        <f>'Financial Statements'!H37/'Financial Statements'!H48</f>
        <v>1.8689731321310268</v>
      </c>
      <c r="I62" s="24">
        <f>'Financial Statements'!I37/'Financial Statements'!I48</f>
        <v>1.8689731321310272</v>
      </c>
      <c r="J62" s="24">
        <f>'Financial Statements'!J37/'Financial Statements'!J48</f>
        <v>1.8689731321310266</v>
      </c>
      <c r="K62" s="24">
        <f>'Financial Statements'!K37/'Financial Statements'!K48</f>
        <v>1.868973132131027</v>
      </c>
      <c r="L62" s="24">
        <f>'Financial Statements'!L37/'Financial Statements'!L48</f>
        <v>1.868973132131027</v>
      </c>
      <c r="M62" s="24">
        <f>'Financial Statements'!M37/'Financial Statements'!M48</f>
        <v>1.8689731321310263</v>
      </c>
      <c r="N62" s="24">
        <f>'Financial Statements'!N37/'Financial Statements'!N48</f>
        <v>1.8689731321310266</v>
      </c>
      <c r="O62" s="24">
        <f>'Financial Statements'!O37/'Financial Statements'!O48</f>
        <v>1.8689731321310268</v>
      </c>
      <c r="P62" s="24">
        <f>'Financial Statements'!P37/'Financial Statements'!P48</f>
        <v>1.8689731321310266</v>
      </c>
      <c r="Q62" s="24">
        <f>'Financial Statements'!Q37/'Financial Statements'!Q48</f>
        <v>1.8689731321310268</v>
      </c>
      <c r="R62" s="24">
        <f>'Financial Statements'!R37/'Financial Statements'!R48</f>
        <v>1.8689731321310268</v>
      </c>
    </row>
    <row r="63" spans="1:18" ht="12">
      <c r="A63" s="25" t="s">
        <v>218</v>
      </c>
      <c r="B63" s="38">
        <f>('Financial Statements'!B33+'Financial Statements'!B34)/'Financial Statements'!B48</f>
        <v>0.46772323154232703</v>
      </c>
      <c r="C63" s="38">
        <f>('Financial Statements'!C33+'Financial Statements'!C34)/'Financial Statements'!C48</f>
        <v>0.2115839243498818</v>
      </c>
      <c r="D63" s="38">
        <f>('Financial Statements'!D33+'Financial Statements'!D34)/'Financial Statements'!D48</f>
        <v>0.35399197958439665</v>
      </c>
      <c r="E63" s="38">
        <f>('Financial Statements'!E33+'Financial Statements'!E34)/'Financial Statements'!E48</f>
        <v>0.10791096405474507</v>
      </c>
      <c r="F63" s="38">
        <f>('Financial Statements'!F33+'Financial Statements'!F34)/'Financial Statements'!F48</f>
        <v>0.26978284873021713</v>
      </c>
      <c r="G63" s="24">
        <f>('Financial Statements'!G33+'Financial Statements'!G34)/'Financial Statements'!G48</f>
        <v>0.2697828487302171</v>
      </c>
      <c r="H63" s="24">
        <f>('Financial Statements'!H33+'Financial Statements'!H34)/'Financial Statements'!H48</f>
        <v>0.26978284873021713</v>
      </c>
      <c r="I63" s="24">
        <f>('Financial Statements'!I33+'Financial Statements'!I34)/'Financial Statements'!I48</f>
        <v>0.2697828487302172</v>
      </c>
      <c r="J63" s="24">
        <f>('Financial Statements'!J33+'Financial Statements'!J34)/'Financial Statements'!J48</f>
        <v>0.2697828487302172</v>
      </c>
      <c r="K63" s="24">
        <f>('Financial Statements'!K33+'Financial Statements'!K34)/'Financial Statements'!K48</f>
        <v>0.26978284873021713</v>
      </c>
      <c r="L63" s="24">
        <f>('Financial Statements'!L33+'Financial Statements'!L34)/'Financial Statements'!L48</f>
        <v>0.26978284873021713</v>
      </c>
      <c r="M63" s="24">
        <f>('Financial Statements'!M33+'Financial Statements'!M34)/'Financial Statements'!M48</f>
        <v>0.2697828487302171</v>
      </c>
      <c r="N63" s="24">
        <f>('Financial Statements'!N33+'Financial Statements'!N34)/'Financial Statements'!N48</f>
        <v>0.26978284873021713</v>
      </c>
      <c r="O63" s="24">
        <f>('Financial Statements'!O33+'Financial Statements'!O34)/'Financial Statements'!O48</f>
        <v>0.26978284873021713</v>
      </c>
      <c r="P63" s="24">
        <f>('Financial Statements'!P33+'Financial Statements'!P34)/'Financial Statements'!P48</f>
        <v>0.26978284873021713</v>
      </c>
      <c r="Q63" s="24">
        <f>('Financial Statements'!Q33+'Financial Statements'!Q34)/'Financial Statements'!Q48</f>
        <v>0.2697828487302172</v>
      </c>
      <c r="R63" s="24">
        <f>('Financial Statements'!R33+'Financial Statements'!R34)/'Financial Statements'!R48</f>
        <v>0.26978284873021713</v>
      </c>
    </row>
    <row r="64" spans="1:18" ht="12">
      <c r="A64" s="25" t="s">
        <v>219</v>
      </c>
      <c r="B64" s="38">
        <f>-'Financial Statements'!B19/'Financial Statements'!B20</f>
        <v>-82.6996699669967</v>
      </c>
      <c r="C64" s="38">
        <f>-'Financial Statements'!C19/'Financial Statements'!C20</f>
        <v>-113.99088145896657</v>
      </c>
      <c r="D64" s="38">
        <f>-'Financial Statements'!D19/'Financial Statements'!D20</f>
        <v>-110.08579881656804</v>
      </c>
      <c r="E64" s="38">
        <f>-'Financial Statements'!E19/'Financial Statements'!E20</f>
        <v>-107.9304347826087</v>
      </c>
      <c r="F64" s="38">
        <f>-'Financial Statements'!F19/'Financial Statements'!F20</f>
        <v>-113.80722891566265</v>
      </c>
      <c r="G64" s="39">
        <f>-'Financial Statements'!G19/'Financial Statements'!G20</f>
        <v>-115.04144827123325</v>
      </c>
      <c r="H64" s="39">
        <f>-'Financial Statements'!H19/'Financial Statements'!H20</f>
        <v>-115.14437466419379</v>
      </c>
      <c r="I64" s="39">
        <f>-'Financial Statements'!I19/'Financial Statements'!I20</f>
        <v>-115.24711033689321</v>
      </c>
      <c r="J64" s="39">
        <f>-'Financial Statements'!J19/'Financial Statements'!J20</f>
        <v>-115.34965581894133</v>
      </c>
      <c r="K64" s="39">
        <f>-'Financial Statements'!K19/'Financial Statements'!K20</f>
        <v>-115.45201163798879</v>
      </c>
      <c r="L64" s="39">
        <f>-'Financial Statements'!L19/'Financial Statements'!L20</f>
        <v>-115.55417831973621</v>
      </c>
      <c r="M64" s="39">
        <f>-'Financial Statements'!M19/'Financial Statements'!M20</f>
        <v>-115.65615638794333</v>
      </c>
      <c r="N64" s="39">
        <f>-'Financial Statements'!N19/'Financial Statements'!N20</f>
        <v>-115.7579463644376</v>
      </c>
      <c r="O64" s="39">
        <f>-'Financial Statements'!O19/'Financial Statements'!O20</f>
        <v>-115.85954876912344</v>
      </c>
      <c r="P64" s="39">
        <f>-'Financial Statements'!P19/'Financial Statements'!P20</f>
        <v>-115.9609641199909</v>
      </c>
      <c r="Q64" s="39">
        <f>-'Financial Statements'!Q19/'Financial Statements'!Q20</f>
        <v>-116.06219293312448</v>
      </c>
      <c r="R64" s="39">
        <f>-'Financial Statements'!R19/'Financial Statements'!R20</f>
        <v>-116.06219293312449</v>
      </c>
    </row>
    <row r="65" spans="1:18" ht="12">
      <c r="A65" s="25" t="s">
        <v>254</v>
      </c>
      <c r="B65" s="38">
        <f>-'Financial Statements'!B17/'Financial Statements'!B20</f>
        <v>-80.13201320132013</v>
      </c>
      <c r="C65" s="38">
        <f>-'Financial Statements'!C17/'Financial Statements'!C20</f>
        <v>-111.45896656534954</v>
      </c>
      <c r="D65" s="38">
        <f>-'Financial Statements'!D17/'Financial Statements'!D20</f>
        <v>-107.45562130177515</v>
      </c>
      <c r="E65" s="38">
        <f>-'Financial Statements'!E17/'Financial Statements'!E20</f>
        <v>-105.3623188405797</v>
      </c>
      <c r="F65" s="38">
        <f>-'Financial Statements'!F17/'Financial Statements'!F20</f>
        <v>-110.99397590361446</v>
      </c>
      <c r="G65" s="39">
        <f>-'Financial Statements'!G17/'Financial Statements'!G20</f>
        <v>-112.24765749524644</v>
      </c>
      <c r="H65" s="39">
        <f>-'Financial Statements'!H17/'Financial Statements'!H20</f>
        <v>-112.35058388820698</v>
      </c>
      <c r="I65" s="39">
        <f>-'Financial Statements'!I17/'Financial Statements'!I20</f>
        <v>-112.45331956090644</v>
      </c>
      <c r="J65" s="39">
        <f>-'Financial Statements'!J17/'Financial Statements'!J20</f>
        <v>-112.55586504295454</v>
      </c>
      <c r="K65" s="39">
        <f>-'Financial Statements'!K17/'Financial Statements'!K20</f>
        <v>-112.658220862002</v>
      </c>
      <c r="L65" s="39">
        <f>-'Financial Statements'!L17/'Financial Statements'!L20</f>
        <v>-112.7603875437494</v>
      </c>
      <c r="M65" s="39">
        <f>-'Financial Statements'!M17/'Financial Statements'!M20</f>
        <v>-112.86236561195653</v>
      </c>
      <c r="N65" s="39">
        <f>-'Financial Statements'!N17/'Financial Statements'!N20</f>
        <v>-112.96415558845081</v>
      </c>
      <c r="O65" s="39">
        <f>-'Financial Statements'!O17/'Financial Statements'!O20</f>
        <v>-113.06575799313664</v>
      </c>
      <c r="P65" s="39">
        <f>-'Financial Statements'!P17/'Financial Statements'!P20</f>
        <v>-113.1671733440041</v>
      </c>
      <c r="Q65" s="39">
        <f>-'Financial Statements'!Q17/'Financial Statements'!Q20</f>
        <v>-113.26840215713769</v>
      </c>
      <c r="R65" s="39">
        <f>-'Financial Statements'!R17/'Financial Statements'!R20</f>
        <v>-113.26840215713769</v>
      </c>
    </row>
    <row r="66" spans="1:18" ht="12">
      <c r="A66" s="25"/>
      <c r="B66" s="38"/>
      <c r="C66" s="38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</row>
    <row r="67" spans="1:18" s="223" customFormat="1" ht="12">
      <c r="A67" s="223" t="s">
        <v>91</v>
      </c>
      <c r="B67" s="222">
        <f>IF(MONTH(B7)&gt;6,YEAR(B7),YEAR(B7)-1)</f>
        <v>2011</v>
      </c>
      <c r="C67" s="222">
        <f>IF(MONTH(C7)&gt;6,YEAR(C7),YEAR(C7)-1)</f>
        <v>2012</v>
      </c>
      <c r="D67" s="222">
        <f>IF(MONTH(D7)&gt;6,YEAR(D7),YEAR(D7)-1)</f>
        <v>2013</v>
      </c>
      <c r="E67" s="222">
        <f aca="true" t="shared" si="4" ref="E67:P67">IF(MONTH(E7)&gt;6,YEAR(E7),YEAR(E7)-1)</f>
        <v>2014</v>
      </c>
      <c r="F67" s="222">
        <f t="shared" si="4"/>
        <v>2015</v>
      </c>
      <c r="G67" s="223">
        <f t="shared" si="4"/>
        <v>2016</v>
      </c>
      <c r="H67" s="223">
        <f t="shared" si="4"/>
        <v>2017</v>
      </c>
      <c r="I67" s="223">
        <f t="shared" si="4"/>
        <v>2018</v>
      </c>
      <c r="J67" s="223">
        <f t="shared" si="4"/>
        <v>2019</v>
      </c>
      <c r="K67" s="223">
        <f t="shared" si="4"/>
        <v>2020</v>
      </c>
      <c r="L67" s="223">
        <f t="shared" si="4"/>
        <v>2021</v>
      </c>
      <c r="M67" s="223">
        <f t="shared" si="4"/>
        <v>2022</v>
      </c>
      <c r="N67" s="223">
        <f t="shared" si="4"/>
        <v>2023</v>
      </c>
      <c r="O67" s="223">
        <f t="shared" si="4"/>
        <v>2024</v>
      </c>
      <c r="P67" s="223">
        <f t="shared" si="4"/>
        <v>2025</v>
      </c>
      <c r="Q67" s="223">
        <f>IF(MONTH(Q7)&gt;6,YEAR(Q7),YEAR(Q7)-1)</f>
        <v>2026</v>
      </c>
      <c r="R67" s="223">
        <f>IF(MONTH(R7)&gt;6,YEAR(R7),YEAR(R7)-1)</f>
        <v>2027</v>
      </c>
    </row>
    <row r="68" spans="5:18" ht="12"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</row>
    <row r="69" spans="5:18" ht="12"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pans="5:18" ht="12"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5:18" ht="12"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</row>
    <row r="72" spans="5:18" ht="12"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</row>
  </sheetData>
  <sheetProtection/>
  <printOptions/>
  <pageMargins left="0.75" right="0.75" top="1" bottom="1" header="0.5" footer="0.5"/>
  <pageSetup fitToHeight="1" fitToWidth="1" orientation="portrait"/>
  <colBreaks count="1" manualBreakCount="1">
    <brk id="15" max="65535" man="1"/>
  </colBreaks>
  <ignoredErrors>
    <ignoredError sqref="D14:K14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0"/>
  <sheetViews>
    <sheetView zoomScale="125" zoomScaleNormal="125" workbookViewId="0" topLeftCell="A1">
      <pane xSplit="1" ySplit="7" topLeftCell="B118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C129" sqref="C129"/>
    </sheetView>
  </sheetViews>
  <sheetFormatPr defaultColWidth="8.8515625" defaultRowHeight="12.75"/>
  <cols>
    <col min="1" max="1" width="31.7109375" style="0" customWidth="1"/>
    <col min="2" max="3" width="15.7109375" style="0" customWidth="1"/>
    <col min="4" max="5" width="15.7109375" style="32" customWidth="1"/>
    <col min="6" max="17" width="15.7109375" style="25" customWidth="1"/>
  </cols>
  <sheetData>
    <row r="1" spans="1:17" s="60" customFormat="1" ht="16.5">
      <c r="A1" s="170" t="s">
        <v>274</v>
      </c>
      <c r="B1" s="179" t="s">
        <v>286</v>
      </c>
      <c r="C1" s="161"/>
      <c r="D1" s="180"/>
      <c r="E1" s="180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</row>
    <row r="2" spans="1:17" s="7" customFormat="1" ht="18" customHeight="1">
      <c r="A2" s="159"/>
      <c r="B2" s="159"/>
      <c r="C2" s="159"/>
      <c r="D2" s="182"/>
      <c r="E2" s="182"/>
      <c r="F2" s="172" t="s">
        <v>169</v>
      </c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</row>
    <row r="3" spans="1:17" s="7" customFormat="1" ht="18" customHeight="1">
      <c r="A3" s="166"/>
      <c r="B3" s="166"/>
      <c r="C3" s="166"/>
      <c r="D3" s="183"/>
      <c r="E3" s="18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</row>
    <row r="4" spans="1:17" s="7" customFormat="1" ht="12">
      <c r="A4" s="6" t="s">
        <v>310</v>
      </c>
      <c r="B4" s="13" t="str">
        <f>'Financial Statements'!B4</f>
        <v>KOHL'S  </v>
      </c>
      <c r="C4" s="6"/>
      <c r="D4" s="9"/>
      <c r="E4" s="9"/>
      <c r="F4" s="9"/>
      <c r="G4" s="9"/>
      <c r="H4" s="26"/>
      <c r="I4" s="9"/>
      <c r="J4" s="9"/>
      <c r="K4" s="9"/>
      <c r="L4" s="9"/>
      <c r="M4" s="9"/>
      <c r="N4" s="9"/>
      <c r="O4" s="9"/>
      <c r="P4" s="9"/>
      <c r="Q4" s="9"/>
    </row>
    <row r="5" spans="1:17" s="7" customFormat="1" ht="12">
      <c r="A5" s="6"/>
      <c r="B5" s="6"/>
      <c r="C5" s="6"/>
      <c r="D5" s="31"/>
      <c r="E5" s="13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7" customFormat="1" ht="12">
      <c r="A6" s="6"/>
      <c r="B6" s="15" t="s">
        <v>411</v>
      </c>
      <c r="C6" s="15" t="s">
        <v>411</v>
      </c>
      <c r="D6" s="15" t="s">
        <v>411</v>
      </c>
      <c r="E6" s="15" t="s">
        <v>411</v>
      </c>
      <c r="F6" s="27" t="s">
        <v>412</v>
      </c>
      <c r="G6" s="27" t="s">
        <v>412</v>
      </c>
      <c r="H6" s="27" t="s">
        <v>412</v>
      </c>
      <c r="I6" s="27" t="s">
        <v>412</v>
      </c>
      <c r="J6" s="27" t="s">
        <v>412</v>
      </c>
      <c r="K6" s="27" t="s">
        <v>412</v>
      </c>
      <c r="L6" s="27" t="s">
        <v>412</v>
      </c>
      <c r="M6" s="27" t="s">
        <v>412</v>
      </c>
      <c r="N6" s="27" t="s">
        <v>412</v>
      </c>
      <c r="O6" s="27" t="s">
        <v>412</v>
      </c>
      <c r="P6" s="27" t="s">
        <v>412</v>
      </c>
      <c r="Q6" s="27" t="s">
        <v>412</v>
      </c>
    </row>
    <row r="7" spans="1:17" s="7" customFormat="1" ht="12.75" thickBot="1">
      <c r="A7" s="6" t="s">
        <v>410</v>
      </c>
      <c r="B7" s="256">
        <f>'Financial Statements'!C8</f>
        <v>39813</v>
      </c>
      <c r="C7" s="254">
        <f>'Financial Statements'!D8</f>
        <v>40178</v>
      </c>
      <c r="D7" s="254">
        <f>'Financial Statements'!E8</f>
        <v>40543</v>
      </c>
      <c r="E7" s="254">
        <f>'Financial Statements'!F8</f>
        <v>40908</v>
      </c>
      <c r="F7" s="257">
        <f>'Financial Statements'!G8</f>
        <v>41274</v>
      </c>
      <c r="G7" s="257">
        <f>'Financial Statements'!H8</f>
        <v>41639</v>
      </c>
      <c r="H7" s="257">
        <f>'Financial Statements'!I8</f>
        <v>42004</v>
      </c>
      <c r="I7" s="257">
        <f>'Financial Statements'!J8</f>
        <v>42369</v>
      </c>
      <c r="J7" s="257">
        <f>'Financial Statements'!K8</f>
        <v>42735</v>
      </c>
      <c r="K7" s="257">
        <f>'Financial Statements'!L8</f>
        <v>43100</v>
      </c>
      <c r="L7" s="257">
        <f>'Financial Statements'!M8</f>
        <v>43465</v>
      </c>
      <c r="M7" s="257">
        <f>'Financial Statements'!N8</f>
        <v>43830</v>
      </c>
      <c r="N7" s="257">
        <f>'Financial Statements'!O8</f>
        <v>44196</v>
      </c>
      <c r="O7" s="257">
        <f>'Financial Statements'!P8</f>
        <v>44561</v>
      </c>
      <c r="P7" s="257">
        <f>'Financial Statements'!Q8</f>
        <v>44926</v>
      </c>
      <c r="Q7" s="257">
        <f>'Financial Statements'!R8</f>
        <v>45291</v>
      </c>
    </row>
    <row r="8" spans="1:17" s="7" customFormat="1" ht="12">
      <c r="A8" s="237" t="s">
        <v>280</v>
      </c>
      <c r="B8" s="224"/>
      <c r="C8" s="6"/>
      <c r="D8" s="13"/>
      <c r="E8" s="13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7" customFormat="1" ht="12">
      <c r="A9" s="6"/>
      <c r="B9" s="6"/>
      <c r="C9" s="6"/>
      <c r="D9" s="13"/>
      <c r="E9" s="13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7" customFormat="1" ht="12">
      <c r="A10" s="9" t="s">
        <v>285</v>
      </c>
      <c r="B10" s="9"/>
      <c r="C10" s="9"/>
      <c r="D10" s="13"/>
      <c r="E10" s="1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7" customFormat="1" ht="12">
      <c r="A11" s="7" t="s">
        <v>152</v>
      </c>
      <c r="B11" s="14">
        <f>'Financial Statements'!C29</f>
        <v>39967000</v>
      </c>
      <c r="C11" s="14">
        <f>'Financial Statements'!D29</f>
        <v>38202000</v>
      </c>
      <c r="D11" s="14">
        <f>'Financial Statements'!E29</f>
        <v>39413000</v>
      </c>
      <c r="E11" s="14">
        <f>'Financial Statements'!F29</f>
        <v>39560000</v>
      </c>
      <c r="F11" s="28">
        <f>'Financial Statements'!G29</f>
        <v>39987275.5589974</v>
      </c>
      <c r="G11" s="28">
        <f>'Financial Statements'!H29</f>
        <v>40513830.65353651</v>
      </c>
      <c r="H11" s="28">
        <f>'Financial Statements'!I29</f>
        <v>41122958.29091566</v>
      </c>
      <c r="I11" s="28">
        <f>'Financial Statements'!J29</f>
        <v>41818020.25170161</v>
      </c>
      <c r="J11" s="28">
        <f>'Financial Statements'!K29</f>
        <v>42602903.8992687</v>
      </c>
      <c r="K11" s="28">
        <f>'Financial Statements'!L29</f>
        <v>43482058.131247886</v>
      </c>
      <c r="L11" s="28">
        <f>'Financial Statements'!M29</f>
        <v>44460535.046266995</v>
      </c>
      <c r="M11" s="28">
        <f>'Financial Statements'!N29</f>
        <v>45544037.8679884</v>
      </c>
      <c r="N11" s="28">
        <f>'Financial Statements'!O29</f>
        <v>46738975.7573622</v>
      </c>
      <c r="O11" s="28">
        <f>'Financial Statements'!P29</f>
        <v>48052526.24352086</v>
      </c>
      <c r="P11" s="28">
        <f>'Financial Statements'!Q29</f>
        <v>49492706.11565374</v>
      </c>
      <c r="Q11" s="28">
        <f>'Financial Statements'!R29</f>
        <v>50977487.29912336</v>
      </c>
    </row>
    <row r="12" spans="1:17" s="7" customFormat="1" ht="12">
      <c r="A12" s="7" t="s">
        <v>432</v>
      </c>
      <c r="B12" s="14">
        <f>-'Financial Statements'!C18</f>
        <v>-833000</v>
      </c>
      <c r="C12" s="14">
        <f>-'Financial Statements'!D18</f>
        <v>-889000</v>
      </c>
      <c r="D12" s="14">
        <f>-'Financial Statements'!E18</f>
        <v>-886000</v>
      </c>
      <c r="E12" s="14">
        <f>-'Financial Statements'!F18</f>
        <v>-934000</v>
      </c>
      <c r="F12" s="28">
        <f>-'Financial Statements'!G18</f>
        <v>-927571.2029350676</v>
      </c>
      <c r="G12" s="28">
        <f>-'Financial Statements'!H18</f>
        <v>-938951.928815222</v>
      </c>
      <c r="H12" s="28">
        <f>-'Financial Statements'!I18</f>
        <v>-952226.058985721</v>
      </c>
      <c r="I12" s="28">
        <f>-'Financial Statements'!J18</f>
        <v>-967466.4095397971</v>
      </c>
      <c r="J12" s="28">
        <f>-'Financial Statements'!K18</f>
        <v>-984757.7074009355</v>
      </c>
      <c r="K12" s="28">
        <f>-'Financial Statements'!L18</f>
        <v>-1004197.3694521976</v>
      </c>
      <c r="L12" s="28">
        <f>-'Financial Statements'!M18</f>
        <v>-1025896.4097347436</v>
      </c>
      <c r="M12" s="28">
        <f>-'Financial Statements'!N18</f>
        <v>-1049980.4864533325</v>
      </c>
      <c r="N12" s="28">
        <f>-'Financial Statements'!O18</f>
        <v>-1076591.1024984717</v>
      </c>
      <c r="O12" s="28">
        <f>-'Financial Statements'!P18</f>
        <v>-1105886.9753958473</v>
      </c>
      <c r="P12" s="28">
        <f>-'Financial Statements'!Q18</f>
        <v>-1138045.595063426</v>
      </c>
      <c r="Q12" s="28">
        <f>-'Financial Statements'!R18</f>
        <v>-1172186.9629153288</v>
      </c>
    </row>
    <row r="13" spans="1:17" s="7" customFormat="1" ht="12">
      <c r="A13" s="7" t="s">
        <v>257</v>
      </c>
      <c r="B13" s="14">
        <f>'Financial Statements'!C51-'Financial Statements'!B51</f>
        <v>-24000</v>
      </c>
      <c r="C13" s="14">
        <f>'Financial Statements'!D51-'Financial Statements'!C51</f>
        <v>20000</v>
      </c>
      <c r="D13" s="14">
        <f>'Financial Statements'!E51-'Financial Statements'!D51</f>
        <v>-14000</v>
      </c>
      <c r="E13" s="14">
        <f>'Financial Statements'!F51-'Financial Statements'!E51</f>
        <v>-111000</v>
      </c>
      <c r="F13" s="28">
        <f>'Financial Statements'!G51-'Financial Statements'!F51</f>
        <v>2911.9787783194624</v>
      </c>
      <c r="G13" s="28">
        <f>'Financial Statements'!H51-'Financial Statements'!G51</f>
        <v>3430.2120055572886</v>
      </c>
      <c r="H13" s="28">
        <f>'Financial Statements'!I51-'Financial Statements'!H51</f>
        <v>3967.1251166840084</v>
      </c>
      <c r="I13" s="28">
        <f>'Financial Statements'!J51-'Financial Statements'!I51</f>
        <v>4525.936911605706</v>
      </c>
      <c r="J13" s="28">
        <f>'Financial Statements'!K51-'Financial Statements'!J51</f>
        <v>5110.066194963409</v>
      </c>
      <c r="K13" s="28">
        <f>'Financial Statements'!L51-'Financial Statements'!K51</f>
        <v>5723.165955736593</v>
      </c>
      <c r="L13" s="28">
        <f>'Financial Statements'!M51-'Financial Statements'!L51</f>
        <v>6369.160557365161</v>
      </c>
      <c r="M13" s="28">
        <f>'Financial Statements'!N51-'Financial Statements'!M51</f>
        <v>7052.286458520568</v>
      </c>
      <c r="N13" s="28">
        <f>'Financial Statements'!O51-'Financial Statements'!N51</f>
        <v>7777.137043284776</v>
      </c>
      <c r="O13" s="28">
        <f>'Financial Statements'!P51-'Financial Statements'!O51</f>
        <v>8548.712208506418</v>
      </c>
      <c r="P13" s="28">
        <f>'Financial Statements'!Q51-'Financial Statements'!P51</f>
        <v>9372.473436916305</v>
      </c>
      <c r="Q13" s="28">
        <f>'Financial Statements'!R51-'Financial Statements'!Q51</f>
        <v>9653.647640023846</v>
      </c>
    </row>
    <row r="14" spans="1:17" s="7" customFormat="1" ht="12">
      <c r="A14" s="7" t="s">
        <v>258</v>
      </c>
      <c r="B14" s="14">
        <f>'Financial Statements'!C50-'Financial Statements'!B50</f>
        <v>52000</v>
      </c>
      <c r="C14" s="14">
        <f>'Financial Statements'!D50-'Financial Statements'!C50</f>
        <v>48000</v>
      </c>
      <c r="D14" s="14">
        <f>'Financial Statements'!E50-'Financial Statements'!D50</f>
        <v>2000</v>
      </c>
      <c r="E14" s="14">
        <f>'Financial Statements'!F50-'Financial Statements'!E50</f>
        <v>1000</v>
      </c>
      <c r="F14" s="28">
        <f>'Financial Statements'!G50-'Financial Statements'!F50</f>
        <v>6379.1597361628665</v>
      </c>
      <c r="G14" s="28">
        <f>'Financial Statements'!H50-'Financial Statements'!G50</f>
        <v>7514.433304002974</v>
      </c>
      <c r="H14" s="28">
        <f>'Financial Statements'!I50-'Financial Statements'!H50</f>
        <v>8690.62817390298</v>
      </c>
      <c r="I14" s="28">
        <f>'Financial Statements'!J50-'Financial Statements'!I50</f>
        <v>9914.79564682499</v>
      </c>
      <c r="J14" s="28">
        <f>'Financial Statements'!K50-'Financial Statements'!J50</f>
        <v>11194.425166398403</v>
      </c>
      <c r="K14" s="28">
        <f>'Financial Statements'!L50-'Financial Statements'!K50</f>
        <v>12537.519194862689</v>
      </c>
      <c r="L14" s="28">
        <f>'Financial Statements'!M50-'Financial Statements'!L50</f>
        <v>13952.674684033496</v>
      </c>
      <c r="M14" s="28">
        <f>'Financial Statements'!N50-'Financial Statements'!M50</f>
        <v>15449.172280727886</v>
      </c>
      <c r="N14" s="28">
        <f>'Financial Statements'!O50-'Financial Statements'!N50</f>
        <v>17037.07453451096</v>
      </c>
      <c r="O14" s="28">
        <f>'Financial Statements'!P50-'Financial Statements'!O50</f>
        <v>18727.334526805906</v>
      </c>
      <c r="P14" s="28">
        <f>'Financial Statements'!Q50-'Financial Statements'!P50</f>
        <v>20531.916517447098</v>
      </c>
      <c r="Q14" s="28">
        <f>'Financial Statements'!R50-'Financial Statements'!Q50</f>
        <v>21147.874012970366</v>
      </c>
    </row>
    <row r="15" spans="1:17" s="7" customFormat="1" ht="12">
      <c r="A15" s="7" t="s">
        <v>80</v>
      </c>
      <c r="B15" s="14">
        <f>-'Financial Statements'!C27</f>
        <v>0</v>
      </c>
      <c r="C15" s="14">
        <f>-'Financial Statements'!D27</f>
        <v>0</v>
      </c>
      <c r="D15" s="14">
        <f>-'Financial Statements'!E27</f>
        <v>0</v>
      </c>
      <c r="E15" s="14">
        <f>-'Financial Statements'!F27</f>
        <v>0</v>
      </c>
      <c r="F15" s="28">
        <f>-'Financial Statements'!G27</f>
        <v>0</v>
      </c>
      <c r="G15" s="28">
        <f>-'Financial Statements'!H27</f>
        <v>0</v>
      </c>
      <c r="H15" s="28">
        <f>-'Financial Statements'!I27</f>
        <v>0</v>
      </c>
      <c r="I15" s="28">
        <f>-'Financial Statements'!J27</f>
        <v>0</v>
      </c>
      <c r="J15" s="28">
        <f>-'Financial Statements'!K27</f>
        <v>0</v>
      </c>
      <c r="K15" s="28">
        <f>-'Financial Statements'!L27</f>
        <v>0</v>
      </c>
      <c r="L15" s="28">
        <f>-'Financial Statements'!M27</f>
        <v>0</v>
      </c>
      <c r="M15" s="28">
        <f>-'Financial Statements'!N27</f>
        <v>0</v>
      </c>
      <c r="N15" s="28">
        <f>-'Financial Statements'!O27</f>
        <v>0</v>
      </c>
      <c r="O15" s="28">
        <f>-'Financial Statements'!P27</f>
        <v>0</v>
      </c>
      <c r="P15" s="28">
        <f>-'Financial Statements'!Q27</f>
        <v>0</v>
      </c>
      <c r="Q15" s="28">
        <f>-'Financial Statements'!R27</f>
        <v>0</v>
      </c>
    </row>
    <row r="16" spans="1:17" s="7" customFormat="1" ht="12">
      <c r="A16" s="7" t="s">
        <v>78</v>
      </c>
      <c r="B16" s="14">
        <f>-'Financial Statements'!C28</f>
        <v>0</v>
      </c>
      <c r="C16" s="14">
        <f>-'Financial Statements'!D28</f>
        <v>0</v>
      </c>
      <c r="D16" s="14">
        <f>-'Financial Statements'!E28</f>
        <v>0</v>
      </c>
      <c r="E16" s="14">
        <f>-'Financial Statements'!F28</f>
        <v>0</v>
      </c>
      <c r="F16" s="28">
        <f>-'Financial Statements'!G28</f>
        <v>0</v>
      </c>
      <c r="G16" s="28">
        <f>-'Financial Statements'!H28</f>
        <v>0</v>
      </c>
      <c r="H16" s="28">
        <f>-'Financial Statements'!I28</f>
        <v>0</v>
      </c>
      <c r="I16" s="28">
        <f>-'Financial Statements'!J28</f>
        <v>0</v>
      </c>
      <c r="J16" s="28">
        <f>-'Financial Statements'!K28</f>
        <v>0</v>
      </c>
      <c r="K16" s="28">
        <f>-'Financial Statements'!L28</f>
        <v>0</v>
      </c>
      <c r="L16" s="28">
        <f>-'Financial Statements'!M28</f>
        <v>0</v>
      </c>
      <c r="M16" s="28">
        <f>-'Financial Statements'!N28</f>
        <v>0</v>
      </c>
      <c r="N16" s="28">
        <f>-'Financial Statements'!O28</f>
        <v>0</v>
      </c>
      <c r="O16" s="28">
        <f>-'Financial Statements'!P28</f>
        <v>0</v>
      </c>
      <c r="P16" s="28">
        <f>-'Financial Statements'!Q28</f>
        <v>0</v>
      </c>
      <c r="Q16" s="28">
        <f>-'Financial Statements'!R28</f>
        <v>0</v>
      </c>
    </row>
    <row r="17" spans="1:17" s="7" customFormat="1" ht="12">
      <c r="A17" s="7" t="s">
        <v>354</v>
      </c>
      <c r="B17" s="14">
        <f>B11+B12+B13+B14+B15+B16</f>
        <v>39162000</v>
      </c>
      <c r="C17" s="14">
        <f aca="true" t="shared" si="0" ref="C17:Q17">C11+C12+C13+C14+C15+C16</f>
        <v>37381000</v>
      </c>
      <c r="D17" s="14">
        <f t="shared" si="0"/>
        <v>38515000</v>
      </c>
      <c r="E17" s="14">
        <f t="shared" si="0"/>
        <v>38516000</v>
      </c>
      <c r="F17" s="28">
        <f t="shared" si="0"/>
        <v>39068995.49457681</v>
      </c>
      <c r="G17" s="28">
        <f t="shared" si="0"/>
        <v>39585823.37003085</v>
      </c>
      <c r="H17" s="28">
        <f t="shared" si="0"/>
        <v>40183389.98522053</v>
      </c>
      <c r="I17" s="28">
        <f t="shared" si="0"/>
        <v>40864994.57472024</v>
      </c>
      <c r="J17" s="28">
        <f t="shared" si="0"/>
        <v>41634450.68322913</v>
      </c>
      <c r="K17" s="28">
        <f t="shared" si="0"/>
        <v>42496121.446946286</v>
      </c>
      <c r="L17" s="28">
        <f t="shared" si="0"/>
        <v>43454960.471773654</v>
      </c>
      <c r="M17" s="28">
        <f t="shared" si="0"/>
        <v>44516558.84027432</v>
      </c>
      <c r="N17" s="28">
        <f t="shared" si="0"/>
        <v>45687198.866441526</v>
      </c>
      <c r="O17" s="28">
        <f t="shared" si="0"/>
        <v>46973915.31486033</v>
      </c>
      <c r="P17" s="28">
        <f t="shared" si="0"/>
        <v>48384564.91054467</v>
      </c>
      <c r="Q17" s="28">
        <f t="shared" si="0"/>
        <v>49836101.85786103</v>
      </c>
    </row>
    <row r="18" spans="1:17" s="7" customFormat="1" ht="12">
      <c r="A18" s="7" t="s">
        <v>416</v>
      </c>
      <c r="B18" s="14">
        <f>-('Financial Statements'!C34-'Financial Statements'!B34)</f>
        <v>0</v>
      </c>
      <c r="C18" s="14">
        <f>-('Financial Statements'!D34-'Financial Statements'!C34)</f>
        <v>0</v>
      </c>
      <c r="D18" s="14">
        <f>-('Financial Statements'!E34-'Financial Statements'!D34)</f>
        <v>-25000</v>
      </c>
      <c r="E18" s="14">
        <f>-('Financial Statements'!F34-'Financial Statements'!E34)</f>
        <v>-1000</v>
      </c>
      <c r="F18" s="28">
        <f>-('Financial Statements'!G34-'Financial Statements'!F34)</f>
        <v>-294.5970748494401</v>
      </c>
      <c r="G18" s="28">
        <f>-('Financial Statements'!H34-'Financial Statements'!G34)</f>
        <v>-347.0253390836151</v>
      </c>
      <c r="H18" s="28">
        <f>-('Financial Statements'!I34-'Financial Statements'!H34)</f>
        <v>-401.3433970186161</v>
      </c>
      <c r="I18" s="28">
        <f>-('Financial Statements'!J34-'Financial Statements'!I34)</f>
        <v>-457.8768859990196</v>
      </c>
      <c r="J18" s="28">
        <f>-('Financial Statements'!K34-'Financial Statements'!J34)</f>
        <v>-516.9716773114742</v>
      </c>
      <c r="K18" s="28">
        <f>-('Financial Statements'!L34-'Financial Statements'!K34)</f>
        <v>-578.9973340433935</v>
      </c>
      <c r="L18" s="28">
        <f>-('Financial Statements'!M34-'Financial Statements'!L34)</f>
        <v>-644.3508735077594</v>
      </c>
      <c r="M18" s="28">
        <f>-('Financial Statements'!N34-'Financial Statements'!M34)</f>
        <v>-713.46088685422</v>
      </c>
      <c r="N18" s="28">
        <f>-('Financial Statements'!O34-'Financial Statements'!N34)</f>
        <v>-786.7920744179137</v>
      </c>
      <c r="O18" s="28">
        <f>-('Financial Statements'!P34-'Financial Statements'!O34)</f>
        <v>-864.8502623391723</v>
      </c>
      <c r="P18" s="28">
        <f>-('Financial Statements'!Q34-'Financial Statements'!P34)</f>
        <v>-948.1879741627381</v>
      </c>
      <c r="Q18" s="28">
        <f>-('Financial Statements'!R34-'Financial Statements'!Q34)</f>
        <v>-976.6336133876248</v>
      </c>
    </row>
    <row r="19" spans="1:17" s="7" customFormat="1" ht="12">
      <c r="A19" s="7" t="s">
        <v>281</v>
      </c>
      <c r="B19" s="14">
        <f>-('Financial Statements'!C35-'Financial Statements'!B35)</f>
        <v>-3430000</v>
      </c>
      <c r="C19" s="14">
        <f>-('Financial Statements'!D35-'Financial Statements'!C35)</f>
        <v>-120000</v>
      </c>
      <c r="D19" s="14">
        <f>-('Financial Statements'!E35-'Financial Statements'!D35)</f>
        <v>60000</v>
      </c>
      <c r="E19" s="14">
        <f>-('Financial Statements'!F35-'Financial Statements'!E35)</f>
        <v>-230000</v>
      </c>
      <c r="F19" s="28">
        <f>-('Financial Statements'!G35-'Financial Statements'!F35)</f>
        <v>-45775.8531689127</v>
      </c>
      <c r="G19" s="28">
        <f>-('Financial Statements'!H35-'Financial Statements'!G35)</f>
        <v>-53922.39884222299</v>
      </c>
      <c r="H19" s="28">
        <f>-('Financial Statements'!I35-'Financial Statements'!H35)</f>
        <v>-62362.58938289294</v>
      </c>
      <c r="I19" s="28">
        <f>-('Financial Statements'!J35-'Financial Statements'!I35)</f>
        <v>-71147.02382446267</v>
      </c>
      <c r="J19" s="28">
        <f>-('Financial Statements'!K35-'Financial Statements'!J35)</f>
        <v>-80329.4452437833</v>
      </c>
      <c r="K19" s="28">
        <f>-('Financial Statements'!L35-'Financial Statements'!K35)</f>
        <v>-89967.27805905044</v>
      </c>
      <c r="L19" s="28">
        <f>-('Financial Statements'!M35-'Financial Statements'!L35)</f>
        <v>-100122.2126527438</v>
      </c>
      <c r="M19" s="28">
        <f>-('Financial Statements'!N35-'Financial Statements'!M35)</f>
        <v>-110860.8454958098</v>
      </c>
      <c r="N19" s="28">
        <f>-('Financial Statements'!O35-'Financial Statements'!N35)</f>
        <v>-122255.38387109153</v>
      </c>
      <c r="O19" s="28">
        <f>-('Financial Statements'!P35-'Financial Statements'!O35)</f>
        <v>-134384.42537885532</v>
      </c>
      <c r="P19" s="28">
        <f>-('Financial Statements'!Q35-'Financial Statements'!P35)</f>
        <v>-147333.82367759477</v>
      </c>
      <c r="Q19" s="28">
        <f>-('Financial Statements'!R35-'Financial Statements'!Q35)</f>
        <v>-151753.83838792332</v>
      </c>
    </row>
    <row r="20" spans="1:17" s="7" customFormat="1" ht="12">
      <c r="A20" s="7" t="s">
        <v>8</v>
      </c>
      <c r="B20" s="14">
        <f>-('Financial Statements'!C36-'Financial Statements'!B36)</f>
        <v>-63000</v>
      </c>
      <c r="C20" s="14">
        <f>-('Financial Statements'!D36-'Financial Statements'!C36)</f>
        <v>-13000</v>
      </c>
      <c r="D20" s="14">
        <f>-('Financial Statements'!E36-'Financial Statements'!D36)</f>
        <v>-5000</v>
      </c>
      <c r="E20" s="14">
        <f>-('Financial Statements'!F36-'Financial Statements'!E36)</f>
        <v>147000</v>
      </c>
      <c r="F20" s="28">
        <f>-('Financial Statements'!G36-'Financial Statements'!F36)</f>
        <v>-3455.850301118393</v>
      </c>
      <c r="G20" s="28">
        <f>-('Financial Statements'!H36-'Financial Statements'!G36)</f>
        <v>-4070.8741700193495</v>
      </c>
      <c r="H20" s="28">
        <f>-('Financial Statements'!I36-'Financial Statements'!H36)</f>
        <v>-4708.06677271839</v>
      </c>
      <c r="I20" s="28">
        <f>-('Financial Statements'!J36-'Financial Statements'!I36)</f>
        <v>-5371.2480857577175</v>
      </c>
      <c r="J20" s="28">
        <f>-('Financial Statements'!K36-'Financial Statements'!J36)</f>
        <v>-6064.475445384567</v>
      </c>
      <c r="K20" s="28">
        <f>-('Financial Statements'!L36-'Financial Statements'!K36)</f>
        <v>-6792.084110893658</v>
      </c>
      <c r="L20" s="28">
        <f>-('Financial Statements'!M36-'Financial Statements'!L36)</f>
        <v>-7558.73140076414</v>
      </c>
      <c r="M20" s="28">
        <f>-('Financial Statements'!N36-'Financial Statements'!M36)</f>
        <v>-8369.445018866798</v>
      </c>
      <c r="N20" s="28">
        <f>-('Financial Statements'!O36-'Financial Statements'!N36)</f>
        <v>-9229.67625759478</v>
      </c>
      <c r="O20" s="28">
        <f>-('Financial Statements'!P36-'Financial Statements'!O36)</f>
        <v>-10145.358846671006</v>
      </c>
      <c r="P20" s="28">
        <f>-('Financial Statements'!Q36-'Financial Statements'!P36)</f>
        <v>-11122.974312293692</v>
      </c>
      <c r="Q20" s="28">
        <f>-('Financial Statements'!R36-'Financial Statements'!Q36)</f>
        <v>-11456.663541662507</v>
      </c>
    </row>
    <row r="21" spans="1:17" s="7" customFormat="1" ht="12">
      <c r="A21" s="7" t="s">
        <v>9</v>
      </c>
      <c r="B21" s="14">
        <f>('Financial Statements'!C45-'Financial Statements'!B45)</f>
        <v>80000</v>
      </c>
      <c r="C21" s="14">
        <f>('Financial Statements'!D45-'Financial Statements'!C45)</f>
        <v>60000</v>
      </c>
      <c r="D21" s="14">
        <f>('Financial Statements'!E45-'Financial Statements'!D45)</f>
        <v>140000</v>
      </c>
      <c r="E21" s="14">
        <f>('Financial Statements'!F45-'Financial Statements'!E45)</f>
        <v>-260000</v>
      </c>
      <c r="F21" s="28">
        <f>('Financial Statements'!G45-'Financial Statements'!F45)</f>
        <v>14163.32090622303</v>
      </c>
      <c r="G21" s="28">
        <f>('Financial Statements'!H45-'Financial Statements'!G45)</f>
        <v>16683.91053286614</v>
      </c>
      <c r="H21" s="28">
        <f>('Financial Statements'!I45-'Financial Statements'!H45)</f>
        <v>19295.355625894852</v>
      </c>
      <c r="I21" s="28">
        <f>('Financial Statements'!J45-'Financial Statements'!I45)</f>
        <v>22013.31182687613</v>
      </c>
      <c r="J21" s="28">
        <f>('Financial Statements'!K45-'Financial Statements'!J45)</f>
        <v>24854.40756305144</v>
      </c>
      <c r="K21" s="28">
        <f>('Financial Statements'!L45-'Financial Statements'!K45)</f>
        <v>27836.41029054788</v>
      </c>
      <c r="L21" s="28">
        <f>('Financial Statements'!M45-'Financial Statements'!L45)</f>
        <v>30978.4073801809</v>
      </c>
      <c r="M21" s="28">
        <f>('Financial Statements'!N45-'Financial Statements'!M45)</f>
        <v>34301.00417568348</v>
      </c>
      <c r="N21" s="28">
        <f>('Financial Statements'!O45-'Financial Statements'!N45)</f>
        <v>37826.5420393229</v>
      </c>
      <c r="O21" s="28">
        <f>('Financial Statements'!P45-'Financial Statements'!O45)</f>
        <v>41579.33953553694</v>
      </c>
      <c r="P21" s="28">
        <f>('Financial Statements'!Q45-'Financial Statements'!P45)</f>
        <v>45585.96029628557</v>
      </c>
      <c r="Q21" s="28">
        <f>('Financial Statements'!R45-'Financial Statements'!Q45)</f>
        <v>46953.53910517413</v>
      </c>
    </row>
    <row r="22" spans="1:17" s="7" customFormat="1" ht="12">
      <c r="A22" s="7" t="s">
        <v>71</v>
      </c>
      <c r="B22" s="14">
        <f>('Financial Statements'!C46-'Financial Statements'!B46)</f>
        <v>157000</v>
      </c>
      <c r="C22" s="14">
        <f>('Financial Statements'!D46-'Financial Statements'!C46)</f>
        <v>-196000</v>
      </c>
      <c r="D22" s="14">
        <f>('Financial Statements'!E46-'Financial Statements'!D46)</f>
        <v>-16000</v>
      </c>
      <c r="E22" s="14">
        <f>('Financial Statements'!F46-'Financial Statements'!E46)</f>
        <v>52000</v>
      </c>
      <c r="F22" s="28">
        <f>('Financial Statements'!G46-'Financial Statements'!F46)</f>
        <v>1472.9853742472187</v>
      </c>
      <c r="G22" s="28">
        <f>('Financial Statements'!H46-'Financial Statements'!G46)</f>
        <v>1735.126695418061</v>
      </c>
      <c r="H22" s="28">
        <f>('Financial Statements'!I46-'Financial Statements'!H46)</f>
        <v>2006.7169850930804</v>
      </c>
      <c r="I22" s="28">
        <f>('Financial Statements'!J46-'Financial Statements'!I46)</f>
        <v>2289.384429995087</v>
      </c>
      <c r="J22" s="28">
        <f>('Financial Statements'!K46-'Financial Statements'!J46)</f>
        <v>2584.8583865573746</v>
      </c>
      <c r="K22" s="28">
        <f>('Financial Statements'!L46-'Financial Statements'!K46)</f>
        <v>2894.986670216982</v>
      </c>
      <c r="L22" s="28">
        <f>('Financial Statements'!M46-'Financial Statements'!L46)</f>
        <v>3221.754367538786</v>
      </c>
      <c r="M22" s="28">
        <f>('Financial Statements'!N46-'Financial Statements'!M46)</f>
        <v>3567.304434271122</v>
      </c>
      <c r="N22" s="28">
        <f>('Financial Statements'!O46-'Financial Statements'!N46)</f>
        <v>3933.960372089554</v>
      </c>
      <c r="O22" s="28">
        <f>('Financial Statements'!P46-'Financial Statements'!O46)</f>
        <v>4324.2513116958435</v>
      </c>
      <c r="P22" s="28">
        <f>('Financial Statements'!Q46-'Financial Statements'!P46)</f>
        <v>4740.939870813716</v>
      </c>
      <c r="Q22" s="28">
        <f>('Financial Statements'!R46-'Financial Statements'!Q46)</f>
        <v>4883.168066938117</v>
      </c>
    </row>
    <row r="23" spans="1:17" s="7" customFormat="1" ht="12">
      <c r="A23" s="7" t="s">
        <v>154</v>
      </c>
      <c r="B23" s="14">
        <f>('Financial Statements'!C47-'Financial Statements'!B47)</f>
        <v>-297000</v>
      </c>
      <c r="C23" s="14">
        <f>('Financial Statements'!D47-'Financial Statements'!C47)</f>
        <v>307000</v>
      </c>
      <c r="D23" s="14">
        <f>('Financial Statements'!E47-'Financial Statements'!D47)</f>
        <v>10460000</v>
      </c>
      <c r="E23" s="14">
        <f>('Financial Statements'!F47-'Financial Statements'!E47)</f>
        <v>-10390000</v>
      </c>
      <c r="F23" s="28">
        <f>('Financial Statements'!G47-'Financial Statements'!F47)</f>
        <v>13710.094637223985</v>
      </c>
      <c r="G23" s="28">
        <f>('Financial Statements'!H47-'Financial Statements'!G47)</f>
        <v>16150.02539581433</v>
      </c>
      <c r="H23" s="28">
        <f>('Financial Statements'!I47-'Financial Statements'!H47)</f>
        <v>18677.90424586623</v>
      </c>
      <c r="I23" s="28">
        <f>('Financial Statements'!J47-'Financial Statements'!I47)</f>
        <v>21308.885848416016</v>
      </c>
      <c r="J23" s="28">
        <f>('Financial Statements'!K47-'Financial Statements'!J47)</f>
        <v>24059.066521033878</v>
      </c>
      <c r="K23" s="28">
        <f>('Financial Statements'!L47-'Financial Statements'!K47)</f>
        <v>26945.645161250373</v>
      </c>
      <c r="L23" s="28">
        <f>('Financial Statements'!M47-'Financial Statements'!L47)</f>
        <v>29987.098344014958</v>
      </c>
      <c r="M23" s="28">
        <f>('Financial Statements'!N47-'Financial Statements'!M47)</f>
        <v>33203.37204206176</v>
      </c>
      <c r="N23" s="28">
        <f>('Financial Statements'!O47-'Financial Statements'!N47)</f>
        <v>36616.09269406437</v>
      </c>
      <c r="O23" s="28">
        <f>('Financial Statements'!P47-'Financial Statements'!O47)</f>
        <v>40248.80067040003</v>
      </c>
      <c r="P23" s="28">
        <f>('Financial Statements'!Q47-'Financial Statements'!P47)</f>
        <v>44127.20956680435</v>
      </c>
      <c r="Q23" s="28">
        <f>('Financial Statements'!R47-'Financial Statements'!Q47)</f>
        <v>45451.02585380874</v>
      </c>
    </row>
    <row r="24" spans="1:17" s="7" customFormat="1" ht="12">
      <c r="A24" s="7" t="s">
        <v>350</v>
      </c>
      <c r="B24" s="14">
        <f>B17+B18+B19+B20+B21+B22+B23</f>
        <v>35609000</v>
      </c>
      <c r="C24" s="14">
        <f>C17+C18+C19+C20+C21+C22+C23</f>
        <v>37419000</v>
      </c>
      <c r="D24" s="14">
        <f>D17+D18+D19+D20+D21+D22+D23</f>
        <v>49129000</v>
      </c>
      <c r="E24" s="14">
        <f>E17+E18+E19+E20+E21+E22+E23</f>
        <v>27834000</v>
      </c>
      <c r="F24" s="28">
        <f aca="true" t="shared" si="1" ref="F24:Q24">F17+F18+F19+F20+F21+F22+F23</f>
        <v>39048815.594949625</v>
      </c>
      <c r="G24" s="28">
        <f t="shared" si="1"/>
        <v>39562052.13430363</v>
      </c>
      <c r="H24" s="28">
        <f t="shared" si="1"/>
        <v>40155897.96252475</v>
      </c>
      <c r="I24" s="28">
        <f t="shared" si="1"/>
        <v>40833630.00802931</v>
      </c>
      <c r="J24" s="28">
        <f t="shared" si="1"/>
        <v>41599038.1233333</v>
      </c>
      <c r="K24" s="28">
        <f t="shared" si="1"/>
        <v>42456460.129564315</v>
      </c>
      <c r="L24" s="28">
        <f t="shared" si="1"/>
        <v>43410822.43693837</v>
      </c>
      <c r="M24" s="28">
        <f t="shared" si="1"/>
        <v>44467686.769524805</v>
      </c>
      <c r="N24" s="28">
        <f t="shared" si="1"/>
        <v>45633303.609343894</v>
      </c>
      <c r="O24" s="28">
        <f t="shared" si="1"/>
        <v>46914673.0718901</v>
      </c>
      <c r="P24" s="28">
        <f t="shared" si="1"/>
        <v>48319614.03431453</v>
      </c>
      <c r="Q24" s="28">
        <f t="shared" si="1"/>
        <v>49769202.455343984</v>
      </c>
    </row>
    <row r="26" spans="1:3" ht="12">
      <c r="A26" s="25" t="s">
        <v>220</v>
      </c>
      <c r="B26" s="25"/>
      <c r="C26" s="25"/>
    </row>
    <row r="27" spans="1:17" ht="12">
      <c r="A27" t="s">
        <v>383</v>
      </c>
      <c r="B27" s="33">
        <f>-('Financial Statements'!C38-'Financial Statements'!B38-'Financial Statements'!C18)</f>
        <v>873000</v>
      </c>
      <c r="C27" s="33">
        <f>-('Financial Statements'!D38-'Financial Statements'!C38-'Financial Statements'!D18)</f>
        <v>1009000</v>
      </c>
      <c r="D27" s="33">
        <f>-('Financial Statements'!E38-'Financial Statements'!D38-'Financial Statements'!E18)</f>
        <v>1116000</v>
      </c>
      <c r="E27" s="33">
        <f>-('Financial Statements'!F38-'Financial Statements'!E38-'Financial Statements'!F18)</f>
        <v>1144000</v>
      </c>
      <c r="F27" s="29">
        <f>-('Financial Statements'!G38-'Financial Statements'!F38-'Financial Statements'!G18)</f>
        <v>833413.4455504973</v>
      </c>
      <c r="G27" s="29">
        <f>-('Financial Statements'!H38-'Financial Statements'!G38-'Financial Statements'!H18)</f>
        <v>828037.2915927271</v>
      </c>
      <c r="H27" s="29">
        <f>-('Financial Statements'!I38-'Financial Statements'!H38-'Financial Statements'!I18)</f>
        <v>823950.5347847712</v>
      </c>
      <c r="I27" s="29">
        <f>-('Financial Statements'!J38-'Financial Statements'!I38-'Financial Statements'!J18)</f>
        <v>821121.9125147264</v>
      </c>
      <c r="J27" s="29">
        <f>-('Financial Statements'!K38-'Financial Statements'!J38-'Financial Statements'!K18)</f>
        <v>819525.6059217684</v>
      </c>
      <c r="K27" s="29">
        <f>-('Financial Statements'!L38-'Financial Statements'!K38-'Financial Statements'!L18)</f>
        <v>819140.9138406371</v>
      </c>
      <c r="L27" s="29">
        <f>-('Financial Statements'!M38-'Financial Statements'!L38-'Financial Statements'!M18)</f>
        <v>819951.9574713008</v>
      </c>
      <c r="M27" s="29">
        <f>-('Financial Statements'!N38-'Financial Statements'!M38-'Financial Statements'!N18)</f>
        <v>821947.410693387</v>
      </c>
      <c r="N27" s="29">
        <f>-('Financial Statements'!O38-'Financial Statements'!N38-'Financial Statements'!O18)</f>
        <v>825120.2510210536</v>
      </c>
      <c r="O27" s="29">
        <f>-('Financial Statements'!P38-'Financial Statements'!O38-'Financial Statements'!P18)</f>
        <v>829467.5261635969</v>
      </c>
      <c r="P27" s="29">
        <f>-('Financial Statements'!Q38-'Financial Statements'!P38-'Financial Statements'!Q18)</f>
        <v>834990.1310137198</v>
      </c>
      <c r="Q27" s="29">
        <f>-('Financial Statements'!R38-'Financial Statements'!Q38-'Financial Statements'!R18)</f>
        <v>860039.8349441304</v>
      </c>
    </row>
    <row r="28" spans="1:17" ht="12">
      <c r="A28" t="s">
        <v>72</v>
      </c>
      <c r="B28" s="33">
        <f>-('Financial Statements'!C39-'Financial Statements'!B39)</f>
        <v>100000</v>
      </c>
      <c r="C28" s="33">
        <f>-('Financial Statements'!D39-'Financial Statements'!C39)</f>
        <v>-11000</v>
      </c>
      <c r="D28" s="33">
        <f>-('Financial Statements'!E39-'Financial Statements'!D39)</f>
        <v>64000</v>
      </c>
      <c r="E28" s="33">
        <f>-('Financial Statements'!F39-'Financial Statements'!E39)</f>
        <v>0</v>
      </c>
      <c r="F28" s="29">
        <f>-('Financial Statements'!G39-'Financial Statements'!F39)</f>
        <v>0</v>
      </c>
      <c r="G28" s="29">
        <f>-('Financial Statements'!H39-'Financial Statements'!G39)</f>
        <v>0</v>
      </c>
      <c r="H28" s="29">
        <f>-('Financial Statements'!I39-'Financial Statements'!H39)</f>
        <v>0</v>
      </c>
      <c r="I28" s="29">
        <f>-('Financial Statements'!J39-'Financial Statements'!I39)</f>
        <v>0</v>
      </c>
      <c r="J28" s="29">
        <f>-('Financial Statements'!K39-'Financial Statements'!J39)</f>
        <v>0</v>
      </c>
      <c r="K28" s="29">
        <f>-('Financial Statements'!L39-'Financial Statements'!K39)</f>
        <v>0</v>
      </c>
      <c r="L28" s="29">
        <f>-('Financial Statements'!M39-'Financial Statements'!L39)</f>
        <v>0</v>
      </c>
      <c r="M28" s="29">
        <f>-('Financial Statements'!N39-'Financial Statements'!M39)</f>
        <v>0</v>
      </c>
      <c r="N28" s="29">
        <f>-('Financial Statements'!O39-'Financial Statements'!N39)</f>
        <v>0</v>
      </c>
      <c r="O28" s="29">
        <f>-('Financial Statements'!P39-'Financial Statements'!O39)</f>
        <v>0</v>
      </c>
      <c r="P28" s="29">
        <f>-('Financial Statements'!Q39-'Financial Statements'!P39)</f>
        <v>0</v>
      </c>
      <c r="Q28" s="29">
        <f>-('Financial Statements'!R39-'Financial Statements'!Q39)</f>
        <v>0</v>
      </c>
    </row>
    <row r="29" spans="1:17" ht="12">
      <c r="A29" t="s">
        <v>201</v>
      </c>
      <c r="B29" s="33">
        <f>-('Financial Statements'!C40-'Financial Statements'!B40)</f>
        <v>0</v>
      </c>
      <c r="C29" s="33">
        <f>-('Financial Statements'!D40-'Financial Statements'!C40)</f>
        <v>0</v>
      </c>
      <c r="D29" s="33">
        <f>-('Financial Statements'!E40-'Financial Statements'!D40)</f>
        <v>0</v>
      </c>
      <c r="E29" s="33">
        <f>-('Financial Statements'!F40-'Financial Statements'!E40)</f>
        <v>0</v>
      </c>
      <c r="F29" s="29">
        <f>-('Financial Statements'!G40-'Financial Statements'!F40)</f>
        <v>0</v>
      </c>
      <c r="G29" s="29">
        <f>-('Financial Statements'!H40-'Financial Statements'!G40)</f>
        <v>0</v>
      </c>
      <c r="H29" s="29">
        <f>-('Financial Statements'!I40-'Financial Statements'!H40)</f>
        <v>0</v>
      </c>
      <c r="I29" s="29">
        <f>-('Financial Statements'!J40-'Financial Statements'!I40)</f>
        <v>0</v>
      </c>
      <c r="J29" s="29">
        <f>-('Financial Statements'!K40-'Financial Statements'!J40)</f>
        <v>0</v>
      </c>
      <c r="K29" s="29">
        <f>-('Financial Statements'!L40-'Financial Statements'!K40)</f>
        <v>0</v>
      </c>
      <c r="L29" s="29">
        <f>-('Financial Statements'!M40-'Financial Statements'!L40)</f>
        <v>0</v>
      </c>
      <c r="M29" s="29">
        <f>-('Financial Statements'!N40-'Financial Statements'!M40)</f>
        <v>0</v>
      </c>
      <c r="N29" s="29">
        <f>-('Financial Statements'!O40-'Financial Statements'!N40)</f>
        <v>0</v>
      </c>
      <c r="O29" s="29">
        <f>-('Financial Statements'!P40-'Financial Statements'!O40)</f>
        <v>0</v>
      </c>
      <c r="P29" s="29">
        <f>-('Financial Statements'!Q40-'Financial Statements'!P40)</f>
        <v>0</v>
      </c>
      <c r="Q29" s="29">
        <f>-('Financial Statements'!R40-'Financial Statements'!Q40)</f>
        <v>0</v>
      </c>
    </row>
    <row r="30" spans="1:17" ht="12">
      <c r="A30" t="s">
        <v>73</v>
      </c>
      <c r="B30" s="33">
        <f>-('Financial Statements'!C41-'Financial Statements'!B41)</f>
        <v>0</v>
      </c>
      <c r="C30" s="33">
        <f>-('Financial Statements'!D41-'Financial Statements'!C41)</f>
        <v>-16000</v>
      </c>
      <c r="D30" s="33">
        <f>-('Financial Statements'!E41-'Financial Statements'!D41)</f>
        <v>59000</v>
      </c>
      <c r="E30" s="33">
        <f>-('Financial Statements'!F41-'Financial Statements'!E41)</f>
        <v>-4000</v>
      </c>
      <c r="F30" s="29">
        <f>-('Financial Statements'!G41-'Financial Statements'!F41)</f>
        <v>-2515.40579294521</v>
      </c>
      <c r="G30" s="29">
        <f>-('Financial Statements'!H41-'Financial Statements'!G41)</f>
        <v>-2963.0625106370426</v>
      </c>
      <c r="H30" s="29">
        <f>-('Financial Statements'!I41-'Financial Statements'!H41)</f>
        <v>-3426.855159158935</v>
      </c>
      <c r="I30" s="29">
        <f>-('Financial Statements'!J41-'Financial Statements'!I41)</f>
        <v>-3909.5641804531624</v>
      </c>
      <c r="J30" s="29">
        <f>-('Financial Statements'!K41-'Financial Statements'!J41)</f>
        <v>-4414.142783197953</v>
      </c>
      <c r="K30" s="29">
        <f>-('Financial Statements'!L41-'Financial Statements'!K41)</f>
        <v>-4943.746467601304</v>
      </c>
      <c r="L30" s="29">
        <f>-('Financial Statements'!M41-'Financial Statements'!L41)</f>
        <v>-5501.765150720108</v>
      </c>
      <c r="M30" s="29">
        <f>-('Financial Statements'!N41-'Financial Statements'!M41)</f>
        <v>-6091.858341601415</v>
      </c>
      <c r="N30" s="29">
        <f>-('Financial Statements'!O41-'Financial Statements'!N41)</f>
        <v>-6717.993866183737</v>
      </c>
      <c r="O30" s="29">
        <f>-('Financial Statements'!P41-'Financial Statements'!O41)</f>
        <v>-7384.490701511386</v>
      </c>
      <c r="P30" s="29">
        <f>-('Financial Statements'!Q41-'Financial Statements'!P41)</f>
        <v>-8096.066548620292</v>
      </c>
      <c r="Q30" s="29">
        <f>-('Financial Statements'!R41-'Financial Statements'!Q41)</f>
        <v>-8338.948545078922</v>
      </c>
    </row>
    <row r="31" spans="1:17" ht="12">
      <c r="A31" t="s">
        <v>1</v>
      </c>
      <c r="B31" s="33">
        <f>B27+B28+B29+B30</f>
        <v>973000</v>
      </c>
      <c r="C31" s="33">
        <f>C27+C28+C29+C30</f>
        <v>982000</v>
      </c>
      <c r="D31" s="33">
        <f>D27+D28+D29+D30</f>
        <v>1239000</v>
      </c>
      <c r="E31" s="33">
        <f>E27+E28+E29+E30</f>
        <v>1140000</v>
      </c>
      <c r="F31" s="29">
        <f aca="true" t="shared" si="2" ref="F31:Q31">F27+F28+F29+F30</f>
        <v>830898.0397575521</v>
      </c>
      <c r="G31" s="29">
        <f t="shared" si="2"/>
        <v>825074.2290820901</v>
      </c>
      <c r="H31" s="29">
        <f t="shared" si="2"/>
        <v>820523.6796256122</v>
      </c>
      <c r="I31" s="29">
        <f t="shared" si="2"/>
        <v>817212.3483342732</v>
      </c>
      <c r="J31" s="29">
        <f t="shared" si="2"/>
        <v>815111.4631385704</v>
      </c>
      <c r="K31" s="29">
        <f t="shared" si="2"/>
        <v>814197.1673730358</v>
      </c>
      <c r="L31" s="29">
        <f t="shared" si="2"/>
        <v>814450.1923205807</v>
      </c>
      <c r="M31" s="29">
        <f t="shared" si="2"/>
        <v>815855.5523517856</v>
      </c>
      <c r="N31" s="29">
        <f t="shared" si="2"/>
        <v>818402.2571548698</v>
      </c>
      <c r="O31" s="29">
        <f t="shared" si="2"/>
        <v>822083.0354620855</v>
      </c>
      <c r="P31" s="29">
        <f t="shared" si="2"/>
        <v>826894.0644650995</v>
      </c>
      <c r="Q31" s="29">
        <f t="shared" si="2"/>
        <v>851700.8863990514</v>
      </c>
    </row>
    <row r="33" spans="1:3" ht="12">
      <c r="A33" s="25" t="s">
        <v>306</v>
      </c>
      <c r="B33" s="25"/>
      <c r="C33" s="25"/>
    </row>
    <row r="34" spans="1:17" ht="12">
      <c r="A34" t="s">
        <v>74</v>
      </c>
      <c r="B34" s="33">
        <f>('Financial Statements'!C44+'Financial Statements'!C49-'Financial Statements'!B44-'Financial Statements'!B49)</f>
        <v>311000</v>
      </c>
      <c r="C34" s="33">
        <f>('Financial Statements'!D44+'Financial Statements'!D49-'Financial Statements'!C44-'Financial Statements'!C49)</f>
        <v>304000</v>
      </c>
      <c r="D34" s="33">
        <f>('Financial Statements'!E44+'Financial Statements'!E49-'Financial Statements'!D44-'Financial Statements'!D49)</f>
        <v>-99000</v>
      </c>
      <c r="E34" s="33">
        <f>('Financial Statements'!F44+'Financial Statements'!F49-'Financial Statements'!E44-'Financial Statements'!E49)</f>
        <v>-53000</v>
      </c>
      <c r="F34" s="29">
        <f>('Financial Statements'!G44+'Financial Statements'!G49-'Financial Statements'!F44-'Financial Statements'!F49)</f>
        <v>53333.40120447241</v>
      </c>
      <c r="G34" s="29">
        <f>('Financial Statements'!H44+'Financial Statements'!H49-'Financial Statements'!G44-'Financial Statements'!G49)</f>
        <v>62824.93350256048</v>
      </c>
      <c r="H34" s="29">
        <f>('Financial Statements'!I44+'Financial Statements'!I49-'Financial Statements'!H44-'Financial Statements'!H49)</f>
        <v>72658.59114487097</v>
      </c>
      <c r="I34" s="29">
        <f>('Financial Statements'!J44+'Financial Statements'!J49-'Financial Statements'!I44-'Financial Statements'!I49)</f>
        <v>82893.32701528259</v>
      </c>
      <c r="J34" s="29">
        <f>('Financial Statements'!K44+'Financial Statements'!K49-'Financial Statements'!J44-'Financial Statements'!J49)</f>
        <v>93591.75711942744</v>
      </c>
      <c r="K34" s="29">
        <f>('Financial Statements'!L44+'Financial Statements'!L49-'Financial Statements'!K44-'Financial Statements'!K49)</f>
        <v>104820.78659008723</v>
      </c>
      <c r="L34" s="29">
        <f>('Financial Statements'!M44+'Financial Statements'!M49-'Financial Statements'!L44-'Financial Statements'!L49)</f>
        <v>116652.29083080869</v>
      </c>
      <c r="M34" s="29">
        <f>('Financial Statements'!N44+'Financial Statements'!N49-'Financial Statements'!M44-'Financial Statements'!M49)</f>
        <v>129163.86132395454</v>
      </c>
      <c r="N34" s="29">
        <f>('Financial Statements'!O44+'Financial Statements'!O49-'Financial Statements'!N44-'Financial Statements'!N49)</f>
        <v>142439.6267032735</v>
      </c>
      <c r="O34" s="29">
        <f>('Financial Statements'!P44+'Financial Statements'!P49-'Financial Statements'!O44-'Financial Statements'!O49)</f>
        <v>156571.16095501836</v>
      </c>
      <c r="P34" s="29">
        <f>('Financial Statements'!Q44+'Financial Statements'!Q49-'Financial Statements'!P44-'Financial Statements'!P49)</f>
        <v>171658.49209169392</v>
      </c>
      <c r="Q34" s="29">
        <f>('Financial Statements'!R44+'Financial Statements'!R49-'Financial Statements'!Q44-'Financial Statements'!Q49)</f>
        <v>176808.24685444217</v>
      </c>
    </row>
    <row r="35" spans="1:17" ht="12">
      <c r="A35" t="s">
        <v>326</v>
      </c>
      <c r="B35" s="33">
        <f>'Financial Statements'!C27+'Financial Statements'!C53-'Financial Statements'!B53</f>
        <v>0</v>
      </c>
      <c r="C35" s="33">
        <f>'Financial Statements'!D27+'Financial Statements'!D53-'Financial Statements'!C53</f>
        <v>0</v>
      </c>
      <c r="D35" s="33">
        <f>'Financial Statements'!E27+'Financial Statements'!E53-'Financial Statements'!D53</f>
        <v>0</v>
      </c>
      <c r="E35" s="33">
        <f>'Financial Statements'!F27+'Financial Statements'!F53-'Financial Statements'!E53</f>
        <v>0</v>
      </c>
      <c r="F35" s="29">
        <f>'Financial Statements'!G27+'Financial Statements'!G53-'Financial Statements'!F53</f>
        <v>0</v>
      </c>
      <c r="G35" s="29">
        <f>'Financial Statements'!H27+'Financial Statements'!H53-'Financial Statements'!G53</f>
        <v>0</v>
      </c>
      <c r="H35" s="29">
        <f>'Financial Statements'!I27+'Financial Statements'!I53-'Financial Statements'!H53</f>
        <v>0</v>
      </c>
      <c r="I35" s="29">
        <f>'Financial Statements'!J27+'Financial Statements'!J53-'Financial Statements'!I53</f>
        <v>0</v>
      </c>
      <c r="J35" s="29">
        <f>'Financial Statements'!K27+'Financial Statements'!K53-'Financial Statements'!J53</f>
        <v>0</v>
      </c>
      <c r="K35" s="29">
        <f>'Financial Statements'!L27+'Financial Statements'!L53-'Financial Statements'!K53</f>
        <v>0</v>
      </c>
      <c r="L35" s="29">
        <f>'Financial Statements'!M27+'Financial Statements'!M53-'Financial Statements'!L53</f>
        <v>0</v>
      </c>
      <c r="M35" s="29">
        <f>'Financial Statements'!N27+'Financial Statements'!N53-'Financial Statements'!M53</f>
        <v>0</v>
      </c>
      <c r="N35" s="29">
        <f>'Financial Statements'!O27+'Financial Statements'!O53-'Financial Statements'!N53</f>
        <v>0</v>
      </c>
      <c r="O35" s="29">
        <f>'Financial Statements'!P27+'Financial Statements'!P53-'Financial Statements'!O53</f>
        <v>0</v>
      </c>
      <c r="P35" s="29">
        <f>'Financial Statements'!Q27+'Financial Statements'!Q53-'Financial Statements'!P53</f>
        <v>0</v>
      </c>
      <c r="Q35" s="29">
        <f>'Financial Statements'!R27+'Financial Statements'!R53-'Financial Statements'!Q53</f>
        <v>0</v>
      </c>
    </row>
    <row r="36" spans="1:17" ht="12">
      <c r="A36" t="s">
        <v>183</v>
      </c>
      <c r="B36" s="33">
        <f>'Financial Statements'!C28</f>
        <v>0</v>
      </c>
      <c r="C36" s="33">
        <f>'Financial Statements'!D28</f>
        <v>0</v>
      </c>
      <c r="D36" s="33">
        <f>'Financial Statements'!E28</f>
        <v>0</v>
      </c>
      <c r="E36" s="33">
        <f>'Financial Statements'!F28</f>
        <v>0</v>
      </c>
      <c r="F36" s="29">
        <f>'Financial Statements'!G28</f>
        <v>0</v>
      </c>
      <c r="G36" s="29">
        <f>'Financial Statements'!H28</f>
        <v>0</v>
      </c>
      <c r="H36" s="29">
        <f>'Financial Statements'!I28</f>
        <v>0</v>
      </c>
      <c r="I36" s="29">
        <f>'Financial Statements'!J28</f>
        <v>0</v>
      </c>
      <c r="J36" s="29">
        <f>'Financial Statements'!K28</f>
        <v>0</v>
      </c>
      <c r="K36" s="29">
        <f>'Financial Statements'!L28</f>
        <v>0</v>
      </c>
      <c r="L36" s="29">
        <f>'Financial Statements'!M28</f>
        <v>0</v>
      </c>
      <c r="M36" s="29">
        <f>'Financial Statements'!N28</f>
        <v>0</v>
      </c>
      <c r="N36" s="29">
        <f>'Financial Statements'!O28</f>
        <v>0</v>
      </c>
      <c r="O36" s="29">
        <f>'Financial Statements'!P28</f>
        <v>0</v>
      </c>
      <c r="P36" s="29">
        <f>'Financial Statements'!Q28</f>
        <v>0</v>
      </c>
      <c r="Q36" s="29">
        <f>'Financial Statements'!R28</f>
        <v>0</v>
      </c>
    </row>
    <row r="37" spans="1:17" ht="12">
      <c r="A37" t="s">
        <v>75</v>
      </c>
      <c r="B37" s="33">
        <f>'Financial Statements'!C54-'Financial Statements'!B54</f>
        <v>0</v>
      </c>
      <c r="C37" s="33">
        <f>'Financial Statements'!D54-'Financial Statements'!C54</f>
        <v>0</v>
      </c>
      <c r="D37" s="33">
        <f>'Financial Statements'!E54-'Financial Statements'!D54</f>
        <v>0</v>
      </c>
      <c r="E37" s="33">
        <f>'Financial Statements'!F54-'Financial Statements'!E54</f>
        <v>0</v>
      </c>
      <c r="F37" s="29">
        <f>'Financial Statements'!G54-'Financial Statements'!F54</f>
        <v>0</v>
      </c>
      <c r="G37" s="29">
        <f>'Financial Statements'!H54-'Financial Statements'!G54</f>
        <v>0</v>
      </c>
      <c r="H37" s="29">
        <f>'Financial Statements'!I54-'Financial Statements'!H54</f>
        <v>0</v>
      </c>
      <c r="I37" s="29">
        <f>'Financial Statements'!J54-'Financial Statements'!I54</f>
        <v>0</v>
      </c>
      <c r="J37" s="29">
        <f>'Financial Statements'!K54-'Financial Statements'!J54</f>
        <v>0</v>
      </c>
      <c r="K37" s="29">
        <f>'Financial Statements'!L54-'Financial Statements'!K54</f>
        <v>0</v>
      </c>
      <c r="L37" s="29">
        <f>'Financial Statements'!M54-'Financial Statements'!L54</f>
        <v>0</v>
      </c>
      <c r="M37" s="29">
        <f>'Financial Statements'!N54-'Financial Statements'!M54</f>
        <v>0</v>
      </c>
      <c r="N37" s="29">
        <f>'Financial Statements'!O54-'Financial Statements'!N54</f>
        <v>0</v>
      </c>
      <c r="O37" s="29">
        <f>'Financial Statements'!P54-'Financial Statements'!O54</f>
        <v>0</v>
      </c>
      <c r="P37" s="29">
        <f>'Financial Statements'!Q54-'Financial Statements'!P54</f>
        <v>0</v>
      </c>
      <c r="Q37" s="29">
        <f>'Financial Statements'!R54-'Financial Statements'!Q54</f>
        <v>0</v>
      </c>
    </row>
    <row r="38" spans="1:17" ht="12">
      <c r="A38" t="s">
        <v>99</v>
      </c>
      <c r="B38" s="33">
        <f>'Financial Statements'!C64</f>
        <v>0</v>
      </c>
      <c r="C38" s="33">
        <f>'Financial Statements'!D64</f>
        <v>0</v>
      </c>
      <c r="D38" s="33">
        <f>'Financial Statements'!E64</f>
        <v>0</v>
      </c>
      <c r="E38" s="33">
        <f>'Financial Statements'!F64</f>
        <v>0</v>
      </c>
      <c r="F38" s="29">
        <f>'Financial Statements'!G64</f>
        <v>0</v>
      </c>
      <c r="G38" s="29">
        <f>'Financial Statements'!H64</f>
        <v>0</v>
      </c>
      <c r="H38" s="29">
        <f>'Financial Statements'!I64</f>
        <v>0</v>
      </c>
      <c r="I38" s="29">
        <f>'Financial Statements'!J64</f>
        <v>0</v>
      </c>
      <c r="J38" s="29">
        <f>'Financial Statements'!K64</f>
        <v>0</v>
      </c>
      <c r="K38" s="29">
        <f>'Financial Statements'!L64</f>
        <v>0</v>
      </c>
      <c r="L38" s="29">
        <f>'Financial Statements'!M64</f>
        <v>0</v>
      </c>
      <c r="M38" s="29">
        <f>'Financial Statements'!N64</f>
        <v>0</v>
      </c>
      <c r="N38" s="29">
        <f>'Financial Statements'!O64</f>
        <v>0</v>
      </c>
      <c r="O38" s="29">
        <f>'Financial Statements'!P64</f>
        <v>0</v>
      </c>
      <c r="P38" s="29">
        <f>'Financial Statements'!Q64</f>
        <v>0</v>
      </c>
      <c r="Q38" s="29">
        <f>'Financial Statements'!R64</f>
        <v>0</v>
      </c>
    </row>
    <row r="39" spans="1:17" ht="12">
      <c r="A39" t="s">
        <v>193</v>
      </c>
      <c r="B39" s="33">
        <f>'Financial Statements'!C55-'Financial Statements'!B55</f>
        <v>-460000</v>
      </c>
      <c r="C39" s="33">
        <f>'Financial Statements'!D55-'Financial Statements'!C55</f>
        <v>-70000</v>
      </c>
      <c r="D39" s="33">
        <f>'Financial Statements'!E55-'Financial Statements'!D55</f>
        <v>53920000</v>
      </c>
      <c r="E39" s="33">
        <f>'Financial Statements'!F55-'Financial Statements'!E55</f>
        <v>-54410000</v>
      </c>
      <c r="F39" s="29">
        <f>'Financial Statements'!G55-'Financial Statements'!F55</f>
        <v>-52252036.261607096</v>
      </c>
      <c r="G39" s="29">
        <f>'Financial Statements'!H55-'Financial Statements'!G55</f>
        <v>-40440514.877090886</v>
      </c>
      <c r="H39" s="29">
        <f>'Financial Statements'!I55-'Financial Statements'!H55</f>
        <v>-41038166.780153245</v>
      </c>
      <c r="I39" s="29">
        <f>'Financial Statements'!J55-'Financial Statements'!I55</f>
        <v>-41721284.954209596</v>
      </c>
      <c r="J39" s="29">
        <f>'Financial Statements'!K55-'Financial Statements'!J55</f>
        <v>-42493683.69067362</v>
      </c>
      <c r="K39" s="29">
        <f>'Financial Statements'!L55-'Financial Statements'!K55</f>
        <v>-43359733.809867084</v>
      </c>
      <c r="L39" s="29">
        <f>'Financial Statements'!M55-'Financial Statements'!L55</f>
        <v>-44324403.53287551</v>
      </c>
      <c r="M39" s="29">
        <f>'Financial Statements'!N55-'Financial Statements'!M55</f>
        <v>-45393305.5352388</v>
      </c>
      <c r="N39" s="29">
        <f>'Financial Statements'!O55-'Financial Statements'!N55</f>
        <v>-46572750.801024556</v>
      </c>
      <c r="O39" s="29">
        <f>'Financial Statements'!P55-'Financial Statements'!O55</f>
        <v>-47869809.99386591</v>
      </c>
      <c r="P39" s="29">
        <f>'Financial Statements'!Q55-'Financial Statements'!P55</f>
        <v>-49292383.17172778</v>
      </c>
      <c r="Q39" s="29">
        <f>'Financial Statements'!R55-'Financial Statements'!Q55</f>
        <v>-50771154.666879594</v>
      </c>
    </row>
    <row r="40" spans="1:17" ht="12">
      <c r="A40" s="7" t="s">
        <v>3</v>
      </c>
      <c r="B40" s="33">
        <f>'Financial Statements'!C65</f>
        <v>-39287000</v>
      </c>
      <c r="C40" s="33">
        <f>'Financial Statements'!D65</f>
        <v>-37622000</v>
      </c>
      <c r="D40" s="33">
        <f>'Financial Statements'!E65</f>
        <v>-38863000</v>
      </c>
      <c r="E40" s="33">
        <f>'Financial Statements'!F65</f>
        <v>-39240000</v>
      </c>
      <c r="F40" s="29">
        <f>'Financial Statements'!G65</f>
        <v>0</v>
      </c>
      <c r="G40" s="29">
        <f>'Financial Statements'!H65</f>
        <v>0</v>
      </c>
      <c r="H40" s="29">
        <f>'Financial Statements'!I65</f>
        <v>0</v>
      </c>
      <c r="I40" s="29">
        <f>'Financial Statements'!J65</f>
        <v>0</v>
      </c>
      <c r="J40" s="29">
        <f>'Financial Statements'!K65</f>
        <v>0</v>
      </c>
      <c r="K40" s="29">
        <f>'Financial Statements'!L65</f>
        <v>0</v>
      </c>
      <c r="L40" s="29">
        <f>'Financial Statements'!M65</f>
        <v>0</v>
      </c>
      <c r="M40" s="29">
        <f>'Financial Statements'!N65</f>
        <v>0</v>
      </c>
      <c r="N40" s="29">
        <f>'Financial Statements'!O65</f>
        <v>0</v>
      </c>
      <c r="O40" s="29">
        <f>'Financial Statements'!P65</f>
        <v>0</v>
      </c>
      <c r="P40" s="29">
        <f>'Financial Statements'!Q65</f>
        <v>0</v>
      </c>
      <c r="Q40" s="29">
        <f>'Financial Statements'!R65</f>
        <v>0</v>
      </c>
    </row>
    <row r="41" spans="1:17" ht="12">
      <c r="A41" t="s">
        <v>2</v>
      </c>
      <c r="B41" s="33">
        <f>SUM(B34:B40)</f>
        <v>-39436000</v>
      </c>
      <c r="C41" s="33">
        <f>SUM(C34:C40)</f>
        <v>-37388000</v>
      </c>
      <c r="D41" s="33">
        <f>SUM(D34:D40)</f>
        <v>14958000</v>
      </c>
      <c r="E41" s="33">
        <f>SUM(E34:E40)</f>
        <v>-93703000</v>
      </c>
      <c r="F41" s="29">
        <f aca="true" t="shared" si="3" ref="F41:Q41">SUM(F34:F40)</f>
        <v>-52198702.86040262</v>
      </c>
      <c r="G41" s="29">
        <f t="shared" si="3"/>
        <v>-40377689.943588324</v>
      </c>
      <c r="H41" s="29">
        <f t="shared" si="3"/>
        <v>-40965508.18900837</v>
      </c>
      <c r="I41" s="29">
        <f t="shared" si="3"/>
        <v>-41638391.627194315</v>
      </c>
      <c r="J41" s="29">
        <f t="shared" si="3"/>
        <v>-42400091.933554195</v>
      </c>
      <c r="K41" s="29">
        <f t="shared" si="3"/>
        <v>-43254913.023277</v>
      </c>
      <c r="L41" s="29">
        <f t="shared" si="3"/>
        <v>-44207751.2420447</v>
      </c>
      <c r="M41" s="29">
        <f t="shared" si="3"/>
        <v>-45264141.67391485</v>
      </c>
      <c r="N41" s="29">
        <f t="shared" si="3"/>
        <v>-46430311.17432128</v>
      </c>
      <c r="O41" s="29">
        <f t="shared" si="3"/>
        <v>-47713238.83291089</v>
      </c>
      <c r="P41" s="29">
        <f t="shared" si="3"/>
        <v>-49120724.67963608</v>
      </c>
      <c r="Q41" s="29">
        <f t="shared" si="3"/>
        <v>-50594346.420025155</v>
      </c>
    </row>
    <row r="43" spans="1:17" ht="12">
      <c r="A43" t="s">
        <v>76</v>
      </c>
      <c r="B43" s="33">
        <f aca="true" t="shared" si="4" ref="B43:Q43">B24+B31+B41</f>
        <v>-2854000</v>
      </c>
      <c r="C43" s="33">
        <f t="shared" si="4"/>
        <v>1013000</v>
      </c>
      <c r="D43" s="33">
        <f t="shared" si="4"/>
        <v>65326000</v>
      </c>
      <c r="E43" s="33">
        <f>E24+E31+E41</f>
        <v>-64729000</v>
      </c>
      <c r="F43" s="29">
        <f>F24+F31+F41</f>
        <v>-12318989.225695446</v>
      </c>
      <c r="G43" s="29">
        <f t="shared" si="4"/>
        <v>9436.41979739815</v>
      </c>
      <c r="H43" s="29">
        <f t="shared" si="4"/>
        <v>10913.453141994774</v>
      </c>
      <c r="I43" s="29">
        <f t="shared" si="4"/>
        <v>12450.729169271886</v>
      </c>
      <c r="J43" s="29">
        <f t="shared" si="4"/>
        <v>14057.652917675674</v>
      </c>
      <c r="K43" s="29">
        <f t="shared" si="4"/>
        <v>15744.273660354316</v>
      </c>
      <c r="L43" s="29">
        <f t="shared" si="4"/>
        <v>17521.387214243412</v>
      </c>
      <c r="M43" s="29">
        <f t="shared" si="4"/>
        <v>19400.647961743176</v>
      </c>
      <c r="N43" s="29">
        <f t="shared" si="4"/>
        <v>21394.69217748195</v>
      </c>
      <c r="O43" s="29">
        <f t="shared" si="4"/>
        <v>23517.274441301823</v>
      </c>
      <c r="P43" s="29">
        <f t="shared" si="4"/>
        <v>25783.419143542647</v>
      </c>
      <c r="Q43" s="29">
        <f t="shared" si="4"/>
        <v>26556.921717882156</v>
      </c>
    </row>
    <row r="44" spans="1:17" ht="12">
      <c r="A44" t="s">
        <v>85</v>
      </c>
      <c r="B44" s="33">
        <f>'Financial Statements'!B33</f>
        <v>1210000</v>
      </c>
      <c r="C44" s="33">
        <f>'Financial Statements'!C33</f>
        <v>537000</v>
      </c>
      <c r="D44" s="33">
        <f>'Financial Statements'!D33</f>
        <v>971000</v>
      </c>
      <c r="E44" s="33">
        <f>'Financial Statements'!E33</f>
        <v>1410000</v>
      </c>
      <c r="F44" s="29">
        <f>'Financial Statements'!F33</f>
        <v>707000</v>
      </c>
      <c r="G44" s="29">
        <f>'Financial Statements'!G33</f>
        <v>715010.7743045597</v>
      </c>
      <c r="H44" s="29">
        <f>'Financial Statements'!H33</f>
        <v>724447.1941019488</v>
      </c>
      <c r="I44" s="29">
        <f>'Financial Statements'!I33</f>
        <v>735360.6472439549</v>
      </c>
      <c r="J44" s="29">
        <f>'Financial Statements'!J33</f>
        <v>747811.376413236</v>
      </c>
      <c r="K44" s="29">
        <f>'Financial Statements'!K33</f>
        <v>761869.029330898</v>
      </c>
      <c r="L44" s="29">
        <f>'Financial Statements'!L33</f>
        <v>777613.3029912318</v>
      </c>
      <c r="M44" s="29">
        <f>'Financial Statements'!M33</f>
        <v>795134.690205462</v>
      </c>
      <c r="N44" s="29">
        <f>'Financial Statements'!N33</f>
        <v>814535.3381672287</v>
      </c>
      <c r="O44" s="29">
        <f>'Financial Statements'!O33</f>
        <v>835930.0303446697</v>
      </c>
      <c r="P44" s="29">
        <f>'Financial Statements'!P33</f>
        <v>859447.3047859694</v>
      </c>
      <c r="Q44" s="29">
        <f>'Financial Statements'!Q33</f>
        <v>885230.7239295486</v>
      </c>
    </row>
    <row r="45" spans="1:17" ht="12">
      <c r="A45" t="s">
        <v>69</v>
      </c>
      <c r="B45" s="33">
        <f>B43+B44</f>
        <v>-1644000</v>
      </c>
      <c r="C45" s="33">
        <f aca="true" t="shared" si="5" ref="C45:Q45">C43+C44</f>
        <v>1550000</v>
      </c>
      <c r="D45" s="33">
        <f t="shared" si="5"/>
        <v>66297000</v>
      </c>
      <c r="E45" s="33">
        <f t="shared" si="5"/>
        <v>-63319000</v>
      </c>
      <c r="F45" s="29">
        <f t="shared" si="5"/>
        <v>-11611989.225695446</v>
      </c>
      <c r="G45" s="29">
        <f t="shared" si="5"/>
        <v>724447.1941019578</v>
      </c>
      <c r="H45" s="29">
        <f t="shared" si="5"/>
        <v>735360.6472439435</v>
      </c>
      <c r="I45" s="29">
        <f t="shared" si="5"/>
        <v>747811.3764132268</v>
      </c>
      <c r="J45" s="29">
        <f t="shared" si="5"/>
        <v>761869.0293309117</v>
      </c>
      <c r="K45" s="29">
        <f t="shared" si="5"/>
        <v>777613.3029912523</v>
      </c>
      <c r="L45" s="29">
        <f t="shared" si="5"/>
        <v>795134.6902054752</v>
      </c>
      <c r="M45" s="29">
        <f t="shared" si="5"/>
        <v>814535.3381672052</v>
      </c>
      <c r="N45" s="29">
        <f t="shared" si="5"/>
        <v>835930.0303447107</v>
      </c>
      <c r="O45" s="29">
        <f t="shared" si="5"/>
        <v>859447.3047859715</v>
      </c>
      <c r="P45" s="29">
        <f t="shared" si="5"/>
        <v>885230.7239295121</v>
      </c>
      <c r="Q45" s="29">
        <f t="shared" si="5"/>
        <v>911787.6456474308</v>
      </c>
    </row>
    <row r="48" spans="1:3" ht="12">
      <c r="A48" s="293" t="s">
        <v>316</v>
      </c>
      <c r="B48" s="294"/>
      <c r="C48" s="120"/>
    </row>
    <row r="49" spans="1:3" ht="12">
      <c r="A49" s="76"/>
      <c r="B49" s="213"/>
      <c r="C49" s="120"/>
    </row>
    <row r="50" spans="1:17" ht="12">
      <c r="A50" s="76" t="s">
        <v>390</v>
      </c>
      <c r="B50" s="216">
        <f>'Financial Statements'!C29</f>
        <v>39967000</v>
      </c>
      <c r="C50" s="216">
        <f>'Financial Statements'!D29</f>
        <v>38202000</v>
      </c>
      <c r="D50" s="216">
        <f>'Financial Statements'!E29</f>
        <v>39413000</v>
      </c>
      <c r="E50" s="216">
        <f>'Financial Statements'!F29</f>
        <v>39560000</v>
      </c>
      <c r="F50" s="217">
        <f>'Financial Statements'!G29</f>
        <v>39987275.5589974</v>
      </c>
      <c r="G50" s="217">
        <f>'Financial Statements'!H29</f>
        <v>40513830.65353651</v>
      </c>
      <c r="H50" s="217">
        <f>'Financial Statements'!I29</f>
        <v>41122958.29091566</v>
      </c>
      <c r="I50" s="217">
        <f>'Financial Statements'!J29</f>
        <v>41818020.25170161</v>
      </c>
      <c r="J50" s="217">
        <f>'Financial Statements'!K29</f>
        <v>42602903.8992687</v>
      </c>
      <c r="K50" s="217">
        <f>'Financial Statements'!L29</f>
        <v>43482058.131247886</v>
      </c>
      <c r="L50" s="217">
        <f>'Financial Statements'!M29</f>
        <v>44460535.046266995</v>
      </c>
      <c r="M50" s="217">
        <f>'Financial Statements'!N29</f>
        <v>45544037.8679884</v>
      </c>
      <c r="N50" s="217">
        <f>'Financial Statements'!O29</f>
        <v>46738975.7573622</v>
      </c>
      <c r="O50" s="217">
        <f>'Financial Statements'!P29</f>
        <v>48052526.24352086</v>
      </c>
      <c r="P50" s="217">
        <f>'Financial Statements'!Q29</f>
        <v>49492706.11565374</v>
      </c>
      <c r="Q50" s="217">
        <f>'Financial Statements'!R29</f>
        <v>50977487.29912336</v>
      </c>
    </row>
    <row r="51" spans="1:17" ht="12">
      <c r="A51" s="25" t="s">
        <v>150</v>
      </c>
      <c r="B51" s="33">
        <f>-('Financial Statements'!C57-'Financial Statements'!B57)</f>
        <v>-220000</v>
      </c>
      <c r="C51" s="33">
        <f>-('Financial Statements'!D57-'Financial Statements'!C57)</f>
        <v>-510000</v>
      </c>
      <c r="D51" s="33">
        <f>-('Financial Statements'!E57-'Financial Statements'!D57)</f>
        <v>-54470000</v>
      </c>
      <c r="E51" s="33">
        <f>-('Financial Statements'!F57-'Financial Statements'!E57)</f>
        <v>54090000</v>
      </c>
      <c r="F51" s="29">
        <f>-('Financial Statements'!G57-'Financial Statements'!F57)</f>
        <v>12264760.702609694</v>
      </c>
      <c r="G51" s="29">
        <f>-('Financial Statements'!H57-'Financial Statements'!G57)</f>
        <v>-73315.77644562721</v>
      </c>
      <c r="H51" s="29">
        <f>-('Financial Statements'!I57-'Financial Statements'!H57)</f>
        <v>-84791.51076243259</v>
      </c>
      <c r="I51" s="29">
        <f>-('Financial Statements'!J57-'Financial Statements'!I57)</f>
        <v>-96735.29749202356</v>
      </c>
      <c r="J51" s="29">
        <f>-('Financial Statements'!K57-'Financial Statements'!J57)</f>
        <v>-109220.20859507285</v>
      </c>
      <c r="K51" s="29">
        <f>-('Financial Statements'!L57-'Financial Statements'!K57)</f>
        <v>-122324.32138078474</v>
      </c>
      <c r="L51" s="29">
        <f>-('Financial Statements'!M57-'Financial Statements'!L57)</f>
        <v>-136131.5133914668</v>
      </c>
      <c r="M51" s="29">
        <f>-('Financial Statements'!N57-'Financial Statements'!M57)</f>
        <v>-150732.33274962194</v>
      </c>
      <c r="N51" s="29">
        <f>-('Financial Statements'!O57-'Financial Statements'!N57)</f>
        <v>-166224.9563376028</v>
      </c>
      <c r="O51" s="29">
        <f>-('Financial Statements'!P57-'Financial Statements'!O57)</f>
        <v>-182716.24965496548</v>
      </c>
      <c r="P51" s="29">
        <f>-('Financial Statements'!Q57-'Financial Statements'!P57)</f>
        <v>-200322.94392599538</v>
      </c>
      <c r="Q51" s="29">
        <f>-('Financial Statements'!R57-'Financial Statements'!Q57)</f>
        <v>-206332.6322437767</v>
      </c>
    </row>
    <row r="52" spans="1:17" ht="12">
      <c r="A52" s="7" t="s">
        <v>3</v>
      </c>
      <c r="B52" s="33">
        <f>'Financial Statements'!C65</f>
        <v>-39287000</v>
      </c>
      <c r="C52" s="33">
        <f>'Financial Statements'!D65</f>
        <v>-37622000</v>
      </c>
      <c r="D52" s="33">
        <f>'Financial Statements'!E65</f>
        <v>-38863000</v>
      </c>
      <c r="E52" s="33">
        <f>'Financial Statements'!F65</f>
        <v>-39240000</v>
      </c>
      <c r="F52" s="29">
        <f>'Financial Statements'!G65</f>
        <v>0</v>
      </c>
      <c r="G52" s="29">
        <f>'Financial Statements'!H65</f>
        <v>0</v>
      </c>
      <c r="H52" s="29">
        <f>'Financial Statements'!I65</f>
        <v>0</v>
      </c>
      <c r="I52" s="29">
        <f>'Financial Statements'!J65</f>
        <v>0</v>
      </c>
      <c r="J52" s="29">
        <f>'Financial Statements'!K65</f>
        <v>0</v>
      </c>
      <c r="K52" s="29">
        <f>'Financial Statements'!L65</f>
        <v>0</v>
      </c>
      <c r="L52" s="29">
        <f>'Financial Statements'!M65</f>
        <v>0</v>
      </c>
      <c r="M52" s="29">
        <f>'Financial Statements'!N65</f>
        <v>0</v>
      </c>
      <c r="N52" s="29">
        <f>'Financial Statements'!O65</f>
        <v>0</v>
      </c>
      <c r="O52" s="29">
        <f>'Financial Statements'!P65</f>
        <v>0</v>
      </c>
      <c r="P52" s="29">
        <f>'Financial Statements'!Q65</f>
        <v>0</v>
      </c>
      <c r="Q52" s="29">
        <f>'Financial Statements'!R65</f>
        <v>0</v>
      </c>
    </row>
    <row r="53" spans="1:17" ht="12.75" thickBot="1">
      <c r="A53" s="25" t="s">
        <v>77</v>
      </c>
      <c r="B53" s="34">
        <f aca="true" t="shared" si="6" ref="B53:Q53">SUM(B50:B52)</f>
        <v>460000</v>
      </c>
      <c r="C53" s="34">
        <f t="shared" si="6"/>
        <v>70000</v>
      </c>
      <c r="D53" s="34">
        <f t="shared" si="6"/>
        <v>-53920000</v>
      </c>
      <c r="E53" s="34">
        <f t="shared" si="6"/>
        <v>54410000</v>
      </c>
      <c r="F53" s="30">
        <f t="shared" si="6"/>
        <v>52252036.261607096</v>
      </c>
      <c r="G53" s="30">
        <f t="shared" si="6"/>
        <v>40440514.877090886</v>
      </c>
      <c r="H53" s="30">
        <f t="shared" si="6"/>
        <v>41038166.78015323</v>
      </c>
      <c r="I53" s="30">
        <f t="shared" si="6"/>
        <v>41721284.95420958</v>
      </c>
      <c r="J53" s="30">
        <f t="shared" si="6"/>
        <v>42493683.69067363</v>
      </c>
      <c r="K53" s="30">
        <f t="shared" si="6"/>
        <v>43359733.8098671</v>
      </c>
      <c r="L53" s="30">
        <f t="shared" si="6"/>
        <v>44324403.53287553</v>
      </c>
      <c r="M53" s="30">
        <f t="shared" si="6"/>
        <v>45393305.53523878</v>
      </c>
      <c r="N53" s="30">
        <f t="shared" si="6"/>
        <v>46572750.8010246</v>
      </c>
      <c r="O53" s="30">
        <f t="shared" si="6"/>
        <v>47869809.9938659</v>
      </c>
      <c r="P53" s="30">
        <f t="shared" si="6"/>
        <v>49292383.17172775</v>
      </c>
      <c r="Q53" s="30">
        <f t="shared" si="6"/>
        <v>50771154.66687959</v>
      </c>
    </row>
    <row r="54" spans="1:3" ht="12.75" thickTop="1">
      <c r="A54" s="25"/>
      <c r="B54" s="1"/>
      <c r="C54" s="1"/>
    </row>
    <row r="55" spans="1:3" ht="12">
      <c r="A55" s="25" t="s">
        <v>343</v>
      </c>
      <c r="B55" s="25"/>
      <c r="C55" s="25"/>
    </row>
    <row r="56" spans="1:17" ht="12">
      <c r="A56" t="s">
        <v>100</v>
      </c>
      <c r="B56" s="33">
        <f>B24</f>
        <v>35609000</v>
      </c>
      <c r="C56" s="33">
        <f>C24</f>
        <v>37419000</v>
      </c>
      <c r="D56" s="33">
        <f>D24</f>
        <v>49129000</v>
      </c>
      <c r="E56" s="33">
        <f>E24</f>
        <v>27834000</v>
      </c>
      <c r="F56" s="29">
        <f aca="true" t="shared" si="7" ref="F56:Q56">F24</f>
        <v>39048815.594949625</v>
      </c>
      <c r="G56" s="29">
        <f t="shared" si="7"/>
        <v>39562052.13430363</v>
      </c>
      <c r="H56" s="29">
        <f t="shared" si="7"/>
        <v>40155897.96252475</v>
      </c>
      <c r="I56" s="29">
        <f t="shared" si="7"/>
        <v>40833630.00802931</v>
      </c>
      <c r="J56" s="29">
        <f t="shared" si="7"/>
        <v>41599038.1233333</v>
      </c>
      <c r="K56" s="29">
        <f t="shared" si="7"/>
        <v>42456460.129564315</v>
      </c>
      <c r="L56" s="29">
        <f t="shared" si="7"/>
        <v>43410822.43693837</v>
      </c>
      <c r="M56" s="29">
        <f t="shared" si="7"/>
        <v>44467686.769524805</v>
      </c>
      <c r="N56" s="29">
        <f t="shared" si="7"/>
        <v>45633303.609343894</v>
      </c>
      <c r="O56" s="29">
        <f t="shared" si="7"/>
        <v>46914673.0718901</v>
      </c>
      <c r="P56" s="29">
        <f t="shared" si="7"/>
        <v>48319614.03431453</v>
      </c>
      <c r="Q56" s="29">
        <f t="shared" si="7"/>
        <v>49769202.455343984</v>
      </c>
    </row>
    <row r="57" spans="1:17" ht="12">
      <c r="A57" t="s">
        <v>380</v>
      </c>
      <c r="B57" s="33">
        <f>-B43</f>
        <v>2854000</v>
      </c>
      <c r="C57" s="33">
        <f>-C43</f>
        <v>-1013000</v>
      </c>
      <c r="D57" s="33">
        <f>-D43</f>
        <v>-65326000</v>
      </c>
      <c r="E57" s="33">
        <f>-E43</f>
        <v>64729000</v>
      </c>
      <c r="F57" s="29">
        <f aca="true" t="shared" si="8" ref="F57:Q57">-F43</f>
        <v>12318989.225695446</v>
      </c>
      <c r="G57" s="29">
        <f t="shared" si="8"/>
        <v>-9436.41979739815</v>
      </c>
      <c r="H57" s="29">
        <f t="shared" si="8"/>
        <v>-10913.453141994774</v>
      </c>
      <c r="I57" s="29">
        <f t="shared" si="8"/>
        <v>-12450.729169271886</v>
      </c>
      <c r="J57" s="29">
        <f t="shared" si="8"/>
        <v>-14057.652917675674</v>
      </c>
      <c r="K57" s="29">
        <f t="shared" si="8"/>
        <v>-15744.273660354316</v>
      </c>
      <c r="L57" s="29">
        <f t="shared" si="8"/>
        <v>-17521.387214243412</v>
      </c>
      <c r="M57" s="29">
        <f t="shared" si="8"/>
        <v>-19400.647961743176</v>
      </c>
      <c r="N57" s="29">
        <f t="shared" si="8"/>
        <v>-21394.69217748195</v>
      </c>
      <c r="O57" s="29">
        <f t="shared" si="8"/>
        <v>-23517.274441301823</v>
      </c>
      <c r="P57" s="29">
        <f t="shared" si="8"/>
        <v>-25783.419143542647</v>
      </c>
      <c r="Q57" s="29">
        <f t="shared" si="8"/>
        <v>-26556.921717882156</v>
      </c>
    </row>
    <row r="58" spans="1:17" ht="12">
      <c r="A58" t="s">
        <v>4</v>
      </c>
      <c r="B58" s="33">
        <f>B31</f>
        <v>973000</v>
      </c>
      <c r="C58" s="33">
        <f>C31</f>
        <v>982000</v>
      </c>
      <c r="D58" s="33">
        <f>D31</f>
        <v>1239000</v>
      </c>
      <c r="E58" s="33">
        <f>E31</f>
        <v>1140000</v>
      </c>
      <c r="F58" s="29">
        <f aca="true" t="shared" si="9" ref="F58:Q58">F31</f>
        <v>830898.0397575521</v>
      </c>
      <c r="G58" s="29">
        <f t="shared" si="9"/>
        <v>825074.2290820901</v>
      </c>
      <c r="H58" s="29">
        <f t="shared" si="9"/>
        <v>820523.6796256122</v>
      </c>
      <c r="I58" s="29">
        <f t="shared" si="9"/>
        <v>817212.3483342732</v>
      </c>
      <c r="J58" s="29">
        <f t="shared" si="9"/>
        <v>815111.4631385704</v>
      </c>
      <c r="K58" s="29">
        <f t="shared" si="9"/>
        <v>814197.1673730358</v>
      </c>
      <c r="L58" s="29">
        <f t="shared" si="9"/>
        <v>814450.1923205807</v>
      </c>
      <c r="M58" s="29">
        <f t="shared" si="9"/>
        <v>815855.5523517856</v>
      </c>
      <c r="N58" s="29">
        <f t="shared" si="9"/>
        <v>818402.2571548698</v>
      </c>
      <c r="O58" s="29">
        <f t="shared" si="9"/>
        <v>822083.0354620855</v>
      </c>
      <c r="P58" s="29">
        <f t="shared" si="9"/>
        <v>826894.0644650995</v>
      </c>
      <c r="Q58" s="29">
        <f t="shared" si="9"/>
        <v>851700.8863990514</v>
      </c>
    </row>
    <row r="59" spans="1:17" ht="12">
      <c r="A59" t="s">
        <v>74</v>
      </c>
      <c r="B59" s="33">
        <f aca="true" t="shared" si="10" ref="B59:E60">B34</f>
        <v>311000</v>
      </c>
      <c r="C59" s="33">
        <f t="shared" si="10"/>
        <v>304000</v>
      </c>
      <c r="D59" s="33">
        <f t="shared" si="10"/>
        <v>-99000</v>
      </c>
      <c r="E59" s="33">
        <f t="shared" si="10"/>
        <v>-53000</v>
      </c>
      <c r="F59" s="29">
        <f aca="true" t="shared" si="11" ref="F59:Q59">F34</f>
        <v>53333.40120447241</v>
      </c>
      <c r="G59" s="29">
        <f t="shared" si="11"/>
        <v>62824.93350256048</v>
      </c>
      <c r="H59" s="29">
        <f t="shared" si="11"/>
        <v>72658.59114487097</v>
      </c>
      <c r="I59" s="29">
        <f t="shared" si="11"/>
        <v>82893.32701528259</v>
      </c>
      <c r="J59" s="29">
        <f t="shared" si="11"/>
        <v>93591.75711942744</v>
      </c>
      <c r="K59" s="29">
        <f t="shared" si="11"/>
        <v>104820.78659008723</v>
      </c>
      <c r="L59" s="29">
        <f t="shared" si="11"/>
        <v>116652.29083080869</v>
      </c>
      <c r="M59" s="29">
        <f t="shared" si="11"/>
        <v>129163.86132395454</v>
      </c>
      <c r="N59" s="29">
        <f t="shared" si="11"/>
        <v>142439.6267032735</v>
      </c>
      <c r="O59" s="29">
        <f t="shared" si="11"/>
        <v>156571.16095501836</v>
      </c>
      <c r="P59" s="29">
        <f t="shared" si="11"/>
        <v>171658.49209169392</v>
      </c>
      <c r="Q59" s="29">
        <f t="shared" si="11"/>
        <v>176808.24685444217</v>
      </c>
    </row>
    <row r="60" spans="1:17" ht="12">
      <c r="A60" t="s">
        <v>326</v>
      </c>
      <c r="B60" s="33">
        <f t="shared" si="10"/>
        <v>0</v>
      </c>
      <c r="C60" s="33">
        <f t="shared" si="10"/>
        <v>0</v>
      </c>
      <c r="D60" s="33">
        <f t="shared" si="10"/>
        <v>0</v>
      </c>
      <c r="E60" s="33">
        <f t="shared" si="10"/>
        <v>0</v>
      </c>
      <c r="F60" s="29">
        <f aca="true" t="shared" si="12" ref="F60:Q60">F35</f>
        <v>0</v>
      </c>
      <c r="G60" s="29">
        <f t="shared" si="12"/>
        <v>0</v>
      </c>
      <c r="H60" s="29">
        <f t="shared" si="12"/>
        <v>0</v>
      </c>
      <c r="I60" s="29">
        <f t="shared" si="12"/>
        <v>0</v>
      </c>
      <c r="J60" s="29">
        <f t="shared" si="12"/>
        <v>0</v>
      </c>
      <c r="K60" s="29">
        <f t="shared" si="12"/>
        <v>0</v>
      </c>
      <c r="L60" s="29">
        <f t="shared" si="12"/>
        <v>0</v>
      </c>
      <c r="M60" s="29">
        <f t="shared" si="12"/>
        <v>0</v>
      </c>
      <c r="N60" s="29">
        <f t="shared" si="12"/>
        <v>0</v>
      </c>
      <c r="O60" s="29">
        <f t="shared" si="12"/>
        <v>0</v>
      </c>
      <c r="P60" s="29">
        <f t="shared" si="12"/>
        <v>0</v>
      </c>
      <c r="Q60" s="29">
        <f t="shared" si="12"/>
        <v>0</v>
      </c>
    </row>
    <row r="61" spans="1:17" ht="12">
      <c r="A61" t="s">
        <v>183</v>
      </c>
      <c r="B61" s="33">
        <f>'Financial Statements'!C28</f>
        <v>0</v>
      </c>
      <c r="C61" s="33">
        <f>'Financial Statements'!D28</f>
        <v>0</v>
      </c>
      <c r="D61" s="33">
        <f>'Financial Statements'!E28</f>
        <v>0</v>
      </c>
      <c r="E61" s="33">
        <f>'Financial Statements'!F28</f>
        <v>0</v>
      </c>
      <c r="F61" s="29">
        <f>'Financial Statements'!G28</f>
        <v>0</v>
      </c>
      <c r="G61" s="29">
        <f>'Financial Statements'!H28</f>
        <v>0</v>
      </c>
      <c r="H61" s="29">
        <f>'Financial Statements'!I28</f>
        <v>0</v>
      </c>
      <c r="I61" s="29">
        <f>'Financial Statements'!J28</f>
        <v>0</v>
      </c>
      <c r="J61" s="29">
        <f>'Financial Statements'!K28</f>
        <v>0</v>
      </c>
      <c r="K61" s="29">
        <f>'Financial Statements'!L28</f>
        <v>0</v>
      </c>
      <c r="L61" s="29">
        <f>'Financial Statements'!M28</f>
        <v>0</v>
      </c>
      <c r="M61" s="29">
        <f>'Financial Statements'!N28</f>
        <v>0</v>
      </c>
      <c r="N61" s="29">
        <f>'Financial Statements'!O28</f>
        <v>0</v>
      </c>
      <c r="O61" s="29">
        <f>'Financial Statements'!P28</f>
        <v>0</v>
      </c>
      <c r="P61" s="29">
        <f>'Financial Statements'!Q28</f>
        <v>0</v>
      </c>
      <c r="Q61" s="29">
        <f>'Financial Statements'!R28</f>
        <v>0</v>
      </c>
    </row>
    <row r="62" spans="1:17" ht="12">
      <c r="A62" t="s">
        <v>5</v>
      </c>
      <c r="B62" s="33">
        <f>B37</f>
        <v>0</v>
      </c>
      <c r="C62" s="33">
        <f>C37</f>
        <v>0</v>
      </c>
      <c r="D62" s="33">
        <f>D37</f>
        <v>0</v>
      </c>
      <c r="E62" s="33">
        <f>E37</f>
        <v>0</v>
      </c>
      <c r="F62" s="29">
        <f aca="true" t="shared" si="13" ref="F62:Q62">F37</f>
        <v>0</v>
      </c>
      <c r="G62" s="29">
        <f t="shared" si="13"/>
        <v>0</v>
      </c>
      <c r="H62" s="29">
        <f t="shared" si="13"/>
        <v>0</v>
      </c>
      <c r="I62" s="29">
        <f t="shared" si="13"/>
        <v>0</v>
      </c>
      <c r="J62" s="29">
        <f t="shared" si="13"/>
        <v>0</v>
      </c>
      <c r="K62" s="29">
        <f t="shared" si="13"/>
        <v>0</v>
      </c>
      <c r="L62" s="29">
        <f t="shared" si="13"/>
        <v>0</v>
      </c>
      <c r="M62" s="29">
        <f t="shared" si="13"/>
        <v>0</v>
      </c>
      <c r="N62" s="29">
        <f t="shared" si="13"/>
        <v>0</v>
      </c>
      <c r="O62" s="29">
        <f t="shared" si="13"/>
        <v>0</v>
      </c>
      <c r="P62" s="29">
        <f t="shared" si="13"/>
        <v>0</v>
      </c>
      <c r="Q62" s="29">
        <f t="shared" si="13"/>
        <v>0</v>
      </c>
    </row>
    <row r="63" spans="1:17" ht="12">
      <c r="A63" s="7" t="s">
        <v>3</v>
      </c>
      <c r="B63" s="33">
        <f>'Financial Statements'!C65</f>
        <v>-39287000</v>
      </c>
      <c r="C63" s="33">
        <f>'Financial Statements'!D65</f>
        <v>-37622000</v>
      </c>
      <c r="D63" s="33">
        <f>'Financial Statements'!E65</f>
        <v>-38863000</v>
      </c>
      <c r="E63" s="33">
        <f>'Financial Statements'!F65</f>
        <v>-39240000</v>
      </c>
      <c r="F63" s="29">
        <f>'Financial Statements'!G65</f>
        <v>0</v>
      </c>
      <c r="G63" s="29">
        <f>'Financial Statements'!H65</f>
        <v>0</v>
      </c>
      <c r="H63" s="29">
        <f>'Financial Statements'!I65</f>
        <v>0</v>
      </c>
      <c r="I63" s="29">
        <f>'Financial Statements'!J65</f>
        <v>0</v>
      </c>
      <c r="J63" s="29">
        <f>'Financial Statements'!K65</f>
        <v>0</v>
      </c>
      <c r="K63" s="29">
        <f>'Financial Statements'!L65</f>
        <v>0</v>
      </c>
      <c r="L63" s="29">
        <f>'Financial Statements'!M65</f>
        <v>0</v>
      </c>
      <c r="M63" s="29">
        <f>'Financial Statements'!N65</f>
        <v>0</v>
      </c>
      <c r="N63" s="29">
        <f>'Financial Statements'!O65</f>
        <v>0</v>
      </c>
      <c r="O63" s="29">
        <f>'Financial Statements'!P65</f>
        <v>0</v>
      </c>
      <c r="P63" s="29">
        <f>'Financial Statements'!Q65</f>
        <v>0</v>
      </c>
      <c r="Q63" s="29">
        <f>'Financial Statements'!R65</f>
        <v>0</v>
      </c>
    </row>
    <row r="64" spans="1:17" ht="12.75" thickBot="1">
      <c r="A64" t="s">
        <v>77</v>
      </c>
      <c r="B64" s="34">
        <f>SUM(B56:B63)</f>
        <v>460000</v>
      </c>
      <c r="C64" s="34">
        <f>SUM(C56:C63)</f>
        <v>70000</v>
      </c>
      <c r="D64" s="34">
        <f>SUM(D56:D63)</f>
        <v>-53920000</v>
      </c>
      <c r="E64" s="34">
        <f>SUM(E56:E63)</f>
        <v>54410000</v>
      </c>
      <c r="F64" s="30">
        <f aca="true" t="shared" si="14" ref="F64:Q64">SUM(F56:F63)</f>
        <v>52252036.261607096</v>
      </c>
      <c r="G64" s="30">
        <f t="shared" si="14"/>
        <v>40440514.877090886</v>
      </c>
      <c r="H64" s="30">
        <f t="shared" si="14"/>
        <v>41038166.780153245</v>
      </c>
      <c r="I64" s="30">
        <f t="shared" si="14"/>
        <v>41721284.954209596</v>
      </c>
      <c r="J64" s="30">
        <f t="shared" si="14"/>
        <v>42493683.69067362</v>
      </c>
      <c r="K64" s="30">
        <f t="shared" si="14"/>
        <v>43359733.809867084</v>
      </c>
      <c r="L64" s="30">
        <f t="shared" si="14"/>
        <v>44324403.53287551</v>
      </c>
      <c r="M64" s="30">
        <f t="shared" si="14"/>
        <v>45393305.5352388</v>
      </c>
      <c r="N64" s="30">
        <f t="shared" si="14"/>
        <v>46572750.801024556</v>
      </c>
      <c r="O64" s="30">
        <f t="shared" si="14"/>
        <v>47869809.99386591</v>
      </c>
      <c r="P64" s="30">
        <f t="shared" si="14"/>
        <v>49292383.17172778</v>
      </c>
      <c r="Q64" s="30">
        <f t="shared" si="14"/>
        <v>50771154.666879594</v>
      </c>
    </row>
    <row r="65" spans="5:17" ht="12.75" thickTop="1">
      <c r="E65" s="33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</row>
    <row r="66" spans="1:17" ht="12">
      <c r="A66" t="s">
        <v>307</v>
      </c>
      <c r="E66" s="33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</row>
    <row r="67" spans="1:17" ht="12">
      <c r="A67" t="s">
        <v>102</v>
      </c>
      <c r="B67" s="33">
        <f>-'Financial Statements'!C64</f>
        <v>0</v>
      </c>
      <c r="C67" s="33">
        <f>-'Financial Statements'!D64</f>
        <v>0</v>
      </c>
      <c r="D67" s="33">
        <f>-'Financial Statements'!E64</f>
        <v>0</v>
      </c>
      <c r="E67" s="33">
        <f>-'Financial Statements'!F64</f>
        <v>0</v>
      </c>
      <c r="F67" s="29">
        <f>-'Financial Statements'!G64</f>
        <v>0</v>
      </c>
      <c r="G67" s="29">
        <f>-'Financial Statements'!H64</f>
        <v>0</v>
      </c>
      <c r="H67" s="29">
        <f>-'Financial Statements'!I64</f>
        <v>0</v>
      </c>
      <c r="I67" s="29">
        <f>-'Financial Statements'!J64</f>
        <v>0</v>
      </c>
      <c r="J67" s="29">
        <f>-'Financial Statements'!K64</f>
        <v>0</v>
      </c>
      <c r="K67" s="29">
        <f>-'Financial Statements'!L64</f>
        <v>0</v>
      </c>
      <c r="L67" s="29">
        <f>-'Financial Statements'!M64</f>
        <v>0</v>
      </c>
      <c r="M67" s="29">
        <f>-'Financial Statements'!N64</f>
        <v>0</v>
      </c>
      <c r="N67" s="29">
        <f>-'Financial Statements'!O64</f>
        <v>0</v>
      </c>
      <c r="O67" s="29">
        <f>-'Financial Statements'!P64</f>
        <v>0</v>
      </c>
      <c r="P67" s="29">
        <f>-'Financial Statements'!Q64</f>
        <v>0</v>
      </c>
      <c r="Q67" s="29">
        <f>-'Financial Statements'!R64</f>
        <v>0</v>
      </c>
    </row>
    <row r="68" spans="1:17" ht="12">
      <c r="A68" t="s">
        <v>101</v>
      </c>
      <c r="B68" s="33">
        <f>-('Financial Statements'!C55-'Financial Statements'!B55)</f>
        <v>460000</v>
      </c>
      <c r="C68" s="33">
        <f>-('Financial Statements'!D55-'Financial Statements'!C55)</f>
        <v>70000</v>
      </c>
      <c r="D68" s="33">
        <f>-('Financial Statements'!E55-'Financial Statements'!D55)</f>
        <v>-53920000</v>
      </c>
      <c r="E68" s="33">
        <f>-('Financial Statements'!F55-'Financial Statements'!E55)</f>
        <v>54410000</v>
      </c>
      <c r="F68" s="29">
        <f>-('Financial Statements'!G55-'Financial Statements'!F55)</f>
        <v>52252036.261607096</v>
      </c>
      <c r="G68" s="29">
        <f>-('Financial Statements'!H55-'Financial Statements'!G55)</f>
        <v>40440514.877090886</v>
      </c>
      <c r="H68" s="29">
        <f>-('Financial Statements'!I55-'Financial Statements'!H55)</f>
        <v>41038166.780153245</v>
      </c>
      <c r="I68" s="29">
        <f>-('Financial Statements'!J55-'Financial Statements'!I55)</f>
        <v>41721284.954209596</v>
      </c>
      <c r="J68" s="29">
        <f>-('Financial Statements'!K55-'Financial Statements'!J55)</f>
        <v>42493683.69067362</v>
      </c>
      <c r="K68" s="29">
        <f>-('Financial Statements'!L55-'Financial Statements'!K55)</f>
        <v>43359733.809867084</v>
      </c>
      <c r="L68" s="29">
        <f>-('Financial Statements'!M55-'Financial Statements'!L55)</f>
        <v>44324403.53287551</v>
      </c>
      <c r="M68" s="29">
        <f>-('Financial Statements'!N55-'Financial Statements'!M55)</f>
        <v>45393305.5352388</v>
      </c>
      <c r="N68" s="29">
        <f>-('Financial Statements'!O55-'Financial Statements'!N55)</f>
        <v>46572750.801024556</v>
      </c>
      <c r="O68" s="29">
        <f>-('Financial Statements'!P55-'Financial Statements'!O55)</f>
        <v>47869809.99386591</v>
      </c>
      <c r="P68" s="29">
        <f>-('Financial Statements'!Q55-'Financial Statements'!P55)</f>
        <v>49292383.17172778</v>
      </c>
      <c r="Q68" s="29">
        <f>-('Financial Statements'!R55-'Financial Statements'!Q55)</f>
        <v>50771154.666879594</v>
      </c>
    </row>
    <row r="69" spans="1:17" ht="12.75" thickBot="1">
      <c r="A69" t="s">
        <v>302</v>
      </c>
      <c r="B69" s="34">
        <f>B67+B68</f>
        <v>460000</v>
      </c>
      <c r="C69" s="34">
        <f>C67+C68</f>
        <v>70000</v>
      </c>
      <c r="D69" s="34">
        <f>D67+D68</f>
        <v>-53920000</v>
      </c>
      <c r="E69" s="34">
        <f>E67+E68</f>
        <v>54410000</v>
      </c>
      <c r="F69" s="30">
        <f aca="true" t="shared" si="15" ref="F69:Q69">F67+F68</f>
        <v>52252036.261607096</v>
      </c>
      <c r="G69" s="30">
        <f t="shared" si="15"/>
        <v>40440514.877090886</v>
      </c>
      <c r="H69" s="30">
        <f t="shared" si="15"/>
        <v>41038166.780153245</v>
      </c>
      <c r="I69" s="30">
        <f t="shared" si="15"/>
        <v>41721284.954209596</v>
      </c>
      <c r="J69" s="30">
        <f t="shared" si="15"/>
        <v>42493683.69067362</v>
      </c>
      <c r="K69" s="30">
        <f t="shared" si="15"/>
        <v>43359733.809867084</v>
      </c>
      <c r="L69" s="30">
        <f t="shared" si="15"/>
        <v>44324403.53287551</v>
      </c>
      <c r="M69" s="30">
        <f t="shared" si="15"/>
        <v>45393305.5352388</v>
      </c>
      <c r="N69" s="30">
        <f t="shared" si="15"/>
        <v>46572750.801024556</v>
      </c>
      <c r="O69" s="30">
        <f t="shared" si="15"/>
        <v>47869809.99386591</v>
      </c>
      <c r="P69" s="30">
        <f t="shared" si="15"/>
        <v>49292383.17172778</v>
      </c>
      <c r="Q69" s="30">
        <f t="shared" si="15"/>
        <v>50771154.666879594</v>
      </c>
    </row>
    <row r="70" spans="2:17" ht="12.75" thickTop="1">
      <c r="B70" s="14"/>
      <c r="C70" s="14"/>
      <c r="D70" s="14"/>
      <c r="E70" s="14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</row>
    <row r="71" spans="5:17" ht="12">
      <c r="E71" s="14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2">
      <c r="A72" s="293" t="s">
        <v>317</v>
      </c>
      <c r="B72" s="294"/>
      <c r="C72" s="1"/>
      <c r="E72" s="33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</row>
    <row r="74" spans="1:17" ht="12">
      <c r="A74" t="s">
        <v>37</v>
      </c>
      <c r="B74" s="214">
        <f>'Financial Statements'!C71</f>
        <v>39633197.62896019</v>
      </c>
      <c r="C74" s="214">
        <f>'Financial Statements'!D71</f>
        <v>37859381.16591928</v>
      </c>
      <c r="D74" s="214">
        <f>'Financial Statements'!E71</f>
        <v>39063728.59674809</v>
      </c>
      <c r="E74" s="214">
        <f>'Financial Statements'!F71</f>
        <v>39224745.76271187</v>
      </c>
      <c r="F74" s="215">
        <f>'Financial Statements'!G71</f>
        <v>39652009.514994726</v>
      </c>
      <c r="G74" s="215">
        <f>'Financial Statements'!H71</f>
        <v>40174451.102202386</v>
      </c>
      <c r="H74" s="215">
        <f>'Financial Statements'!I71</f>
        <v>40778780.87059233</v>
      </c>
      <c r="I74" s="215">
        <f>'Financial Statements'!J71</f>
        <v>41468334.28171297</v>
      </c>
      <c r="J74" s="215">
        <f>'Financial Statements'!K71</f>
        <v>42246968.07480934</v>
      </c>
      <c r="K74" s="215">
        <f>'Financial Statements'!L71</f>
        <v>43119095.936659686</v>
      </c>
      <c r="L74" s="215">
        <f>'Financial Statements'!M71</f>
        <v>44089729.84041329</v>
      </c>
      <c r="M74" s="215">
        <f>'Financial Statements'!N71</f>
        <v>45164527.59119313</v>
      </c>
      <c r="N74" s="215">
        <f>'Financial Statements'!O71</f>
        <v>46349847.204426296</v>
      </c>
      <c r="O74" s="215">
        <f>'Financial Statements'!P71</f>
        <v>47652808.84157711</v>
      </c>
      <c r="P74" s="215">
        <f>'Financial Statements'!Q71</f>
        <v>49081365.13897802</v>
      </c>
      <c r="Q74" s="215">
        <f>'Financial Statements'!R71</f>
        <v>50553806.093147375</v>
      </c>
    </row>
    <row r="75" spans="1:17" ht="12">
      <c r="A75" t="s">
        <v>124</v>
      </c>
      <c r="B75" s="33">
        <f>-('Financial Statements'!C75-'Financial Statements'!B75)</f>
        <v>-531000</v>
      </c>
      <c r="C75" s="33">
        <f>-('Financial Statements'!D75-'Financial Statements'!C75)</f>
        <v>-814000</v>
      </c>
      <c r="D75" s="33">
        <f>-('Financial Statements'!E75-'Financial Statements'!D75)</f>
        <v>-54371000</v>
      </c>
      <c r="E75" s="33">
        <f>-('Financial Statements'!F75-'Financial Statements'!E75)</f>
        <v>54143000</v>
      </c>
      <c r="F75" s="29">
        <f>-('Financial Statements'!G75-'Financial Statements'!F75)</f>
        <v>12211427.301405221</v>
      </c>
      <c r="G75" s="29">
        <f>-('Financial Statements'!H75-'Financial Statements'!G75)</f>
        <v>-136140.70994818956</v>
      </c>
      <c r="H75" s="29">
        <f>-('Financial Statements'!I75-'Financial Statements'!H75)</f>
        <v>-157450.1019073017</v>
      </c>
      <c r="I75" s="29">
        <f>-('Financial Statements'!J75-'Financial Statements'!I75)</f>
        <v>-179628.624507308</v>
      </c>
      <c r="J75" s="29">
        <f>-('Financial Statements'!K75-'Financial Statements'!J75)</f>
        <v>-202811.96571449935</v>
      </c>
      <c r="K75" s="29">
        <f>-('Financial Statements'!L75-'Financial Statements'!K75)</f>
        <v>-227145.10797087103</v>
      </c>
      <c r="L75" s="29">
        <f>-('Financial Statements'!M75-'Financial Statements'!L75)</f>
        <v>-252783.80422227643</v>
      </c>
      <c r="M75" s="29">
        <f>-('Financial Statements'!N75-'Financial Statements'!M75)</f>
        <v>-279896.1940735765</v>
      </c>
      <c r="N75" s="29">
        <f>-('Financial Statements'!O75-'Financial Statements'!N75)</f>
        <v>-308664.5830408763</v>
      </c>
      <c r="O75" s="29">
        <f>-('Financial Statements'!P75-'Financial Statements'!O75)</f>
        <v>-339287.4106099829</v>
      </c>
      <c r="P75" s="29">
        <f>-('Financial Statements'!Q75-'Financial Statements'!P75)</f>
        <v>-371981.4360176902</v>
      </c>
      <c r="Q75" s="29">
        <f>-('Financial Statements'!R75-'Financial Statements'!Q75)</f>
        <v>-383140.8790982198</v>
      </c>
    </row>
    <row r="76" spans="1:17" ht="12">
      <c r="A76" s="7" t="s">
        <v>3</v>
      </c>
      <c r="B76" s="33">
        <f>'Financial Statements'!C65</f>
        <v>-39287000</v>
      </c>
      <c r="C76" s="33">
        <f>'Financial Statements'!D65</f>
        <v>-37622000</v>
      </c>
      <c r="D76" s="33">
        <f>'Financial Statements'!E65</f>
        <v>-38863000</v>
      </c>
      <c r="E76" s="33">
        <f>'Financial Statements'!F65</f>
        <v>-39240000</v>
      </c>
      <c r="F76" s="29">
        <f>'Financial Statements'!G65</f>
        <v>0</v>
      </c>
      <c r="G76" s="29">
        <f>'Financial Statements'!H65</f>
        <v>0</v>
      </c>
      <c r="H76" s="29">
        <f>'Financial Statements'!I65</f>
        <v>0</v>
      </c>
      <c r="I76" s="29">
        <f>'Financial Statements'!J65</f>
        <v>0</v>
      </c>
      <c r="J76" s="29">
        <f>'Financial Statements'!K65</f>
        <v>0</v>
      </c>
      <c r="K76" s="29">
        <f>'Financial Statements'!L65</f>
        <v>0</v>
      </c>
      <c r="L76" s="29">
        <f>'Financial Statements'!M65</f>
        <v>0</v>
      </c>
      <c r="M76" s="29">
        <f>'Financial Statements'!N65</f>
        <v>0</v>
      </c>
      <c r="N76" s="29">
        <f>'Financial Statements'!O65</f>
        <v>0</v>
      </c>
      <c r="O76" s="29">
        <f>'Financial Statements'!P65</f>
        <v>0</v>
      </c>
      <c r="P76" s="29">
        <f>'Financial Statements'!Q65</f>
        <v>0</v>
      </c>
      <c r="Q76" s="29">
        <f>'Financial Statements'!R65</f>
        <v>0</v>
      </c>
    </row>
    <row r="77" spans="1:17" ht="12.75" thickBot="1">
      <c r="A77" t="s">
        <v>426</v>
      </c>
      <c r="B77" s="34">
        <f aca="true" t="shared" si="16" ref="B77:Q77">SUM(B74:B76)</f>
        <v>-184802.3710398078</v>
      </c>
      <c r="C77" s="34">
        <f t="shared" si="16"/>
        <v>-576618.8340807185</v>
      </c>
      <c r="D77" s="34">
        <f t="shared" si="16"/>
        <v>-54170271.40325191</v>
      </c>
      <c r="E77" s="34">
        <f t="shared" si="16"/>
        <v>54127745.76271187</v>
      </c>
      <c r="F77" s="30">
        <f t="shared" si="16"/>
        <v>51863436.81639995</v>
      </c>
      <c r="G77" s="30">
        <f t="shared" si="16"/>
        <v>40038310.392254196</v>
      </c>
      <c r="H77" s="30">
        <f t="shared" si="16"/>
        <v>40621330.76868503</v>
      </c>
      <c r="I77" s="30">
        <f t="shared" si="16"/>
        <v>41288705.65720566</v>
      </c>
      <c r="J77" s="30">
        <f t="shared" si="16"/>
        <v>42044156.10909484</v>
      </c>
      <c r="K77" s="30">
        <f t="shared" si="16"/>
        <v>42891950.828688815</v>
      </c>
      <c r="L77" s="30">
        <f t="shared" si="16"/>
        <v>43836946.03619101</v>
      </c>
      <c r="M77" s="30">
        <f t="shared" si="16"/>
        <v>44884631.39711955</v>
      </c>
      <c r="N77" s="30">
        <f t="shared" si="16"/>
        <v>46041182.62138542</v>
      </c>
      <c r="O77" s="30">
        <f t="shared" si="16"/>
        <v>47313521.43096713</v>
      </c>
      <c r="P77" s="30">
        <f t="shared" si="16"/>
        <v>48709383.70296033</v>
      </c>
      <c r="Q77" s="30">
        <f t="shared" si="16"/>
        <v>50170665.21404915</v>
      </c>
    </row>
    <row r="78" spans="2:17" ht="12.75" thickTop="1">
      <c r="B78" s="33"/>
      <c r="C78" s="33"/>
      <c r="D78" s="33"/>
      <c r="E78" s="33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</row>
    <row r="79" spans="1:17" ht="12">
      <c r="A79" t="s">
        <v>343</v>
      </c>
      <c r="B79" s="33"/>
      <c r="C79" s="33"/>
      <c r="D79" s="33"/>
      <c r="E79" s="33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</row>
    <row r="80" spans="1:17" ht="12">
      <c r="A80" t="s">
        <v>35</v>
      </c>
      <c r="B80" s="33">
        <f>B24</f>
        <v>35609000</v>
      </c>
      <c r="C80" s="33">
        <f>C24</f>
        <v>37419000</v>
      </c>
      <c r="D80" s="33">
        <f>D24</f>
        <v>49129000</v>
      </c>
      <c r="E80" s="33">
        <f>E24</f>
        <v>27834000</v>
      </c>
      <c r="F80" s="29">
        <f aca="true" t="shared" si="17" ref="F80:Q80">F24</f>
        <v>39048815.594949625</v>
      </c>
      <c r="G80" s="29">
        <f t="shared" si="17"/>
        <v>39562052.13430363</v>
      </c>
      <c r="H80" s="29">
        <f t="shared" si="17"/>
        <v>40155897.96252475</v>
      </c>
      <c r="I80" s="29">
        <f t="shared" si="17"/>
        <v>40833630.00802931</v>
      </c>
      <c r="J80" s="29">
        <f t="shared" si="17"/>
        <v>41599038.1233333</v>
      </c>
      <c r="K80" s="29">
        <f t="shared" si="17"/>
        <v>42456460.129564315</v>
      </c>
      <c r="L80" s="29">
        <f t="shared" si="17"/>
        <v>43410822.43693837</v>
      </c>
      <c r="M80" s="29">
        <f t="shared" si="17"/>
        <v>44467686.769524805</v>
      </c>
      <c r="N80" s="29">
        <f t="shared" si="17"/>
        <v>45633303.609343894</v>
      </c>
      <c r="O80" s="29">
        <f t="shared" si="17"/>
        <v>46914673.0718901</v>
      </c>
      <c r="P80" s="29">
        <f t="shared" si="17"/>
        <v>48319614.03431453</v>
      </c>
      <c r="Q80" s="29">
        <f t="shared" si="17"/>
        <v>49769202.455343984</v>
      </c>
    </row>
    <row r="81" spans="1:17" ht="12">
      <c r="A81" t="s">
        <v>261</v>
      </c>
      <c r="B81" s="33">
        <f>-('Financial Statements'!C33-'Financial Statements'!B33)</f>
        <v>673000</v>
      </c>
      <c r="C81" s="33">
        <f>-('Financial Statements'!D33-'Financial Statements'!C33)</f>
        <v>-434000</v>
      </c>
      <c r="D81" s="33">
        <f>-('Financial Statements'!E33-'Financial Statements'!D33)</f>
        <v>-439000</v>
      </c>
      <c r="E81" s="33">
        <f>-('Financial Statements'!F33-'Financial Statements'!E33)</f>
        <v>703000</v>
      </c>
      <c r="F81" s="29">
        <f>-('Financial Statements'!G33-'Financial Statements'!F33)</f>
        <v>-8010.774304559687</v>
      </c>
      <c r="G81" s="29">
        <f>-('Financial Statements'!H33-'Financial Statements'!G33)</f>
        <v>-9436.41979738907</v>
      </c>
      <c r="H81" s="29">
        <f>-('Financial Statements'!I33-'Financial Statements'!H33)</f>
        <v>-10913.453142006183</v>
      </c>
      <c r="I81" s="29">
        <f>-('Financial Statements'!J33-'Financial Statements'!I33)</f>
        <v>-12450.729169281083</v>
      </c>
      <c r="J81" s="29">
        <f>-('Financial Statements'!K33-'Financial Statements'!J33)</f>
        <v>-14057.652917661937</v>
      </c>
      <c r="K81" s="29">
        <f>-('Financial Statements'!L33-'Financial Statements'!K33)</f>
        <v>-15744.273660333827</v>
      </c>
      <c r="L81" s="29">
        <f>-('Financial Statements'!M33-'Financial Statements'!L33)</f>
        <v>-17521.387214230257</v>
      </c>
      <c r="M81" s="29">
        <f>-('Financial Statements'!N33-'Financial Statements'!M33)</f>
        <v>-19400.647961766692</v>
      </c>
      <c r="N81" s="29">
        <f>-('Financial Statements'!O33-'Financial Statements'!N33)</f>
        <v>-21394.69217744097</v>
      </c>
      <c r="O81" s="29">
        <f>-('Financial Statements'!P33-'Financial Statements'!O33)</f>
        <v>-23517.274441299727</v>
      </c>
      <c r="P81" s="29">
        <f>-('Financial Statements'!Q33-'Financial Statements'!P33)</f>
        <v>-25783.4191435792</v>
      </c>
      <c r="Q81" s="29">
        <f>-('Financial Statements'!R33-'Financial Statements'!Q33)</f>
        <v>-26556.921717886464</v>
      </c>
    </row>
    <row r="82" spans="1:17" ht="12">
      <c r="A82" t="s">
        <v>36</v>
      </c>
      <c r="B82" s="33">
        <f>B31</f>
        <v>973000</v>
      </c>
      <c r="C82" s="33">
        <f>C31</f>
        <v>982000</v>
      </c>
      <c r="D82" s="33">
        <f>D31</f>
        <v>1239000</v>
      </c>
      <c r="E82" s="33">
        <f>E31</f>
        <v>1140000</v>
      </c>
      <c r="F82" s="29">
        <f aca="true" t="shared" si="18" ref="F82:Q82">F31</f>
        <v>830898.0397575521</v>
      </c>
      <c r="G82" s="29">
        <f t="shared" si="18"/>
        <v>825074.2290820901</v>
      </c>
      <c r="H82" s="29">
        <f t="shared" si="18"/>
        <v>820523.6796256122</v>
      </c>
      <c r="I82" s="29">
        <f t="shared" si="18"/>
        <v>817212.3483342732</v>
      </c>
      <c r="J82" s="29">
        <f t="shared" si="18"/>
        <v>815111.4631385704</v>
      </c>
      <c r="K82" s="29">
        <f t="shared" si="18"/>
        <v>814197.1673730358</v>
      </c>
      <c r="L82" s="29">
        <f t="shared" si="18"/>
        <v>814450.1923205807</v>
      </c>
      <c r="M82" s="29">
        <f t="shared" si="18"/>
        <v>815855.5523517856</v>
      </c>
      <c r="N82" s="29">
        <f t="shared" si="18"/>
        <v>818402.2571548698</v>
      </c>
      <c r="O82" s="29">
        <f t="shared" si="18"/>
        <v>822083.0354620855</v>
      </c>
      <c r="P82" s="29">
        <f t="shared" si="18"/>
        <v>826894.0644650995</v>
      </c>
      <c r="Q82" s="29">
        <f t="shared" si="18"/>
        <v>851700.8863990514</v>
      </c>
    </row>
    <row r="83" spans="1:17" ht="12">
      <c r="A83" t="s">
        <v>202</v>
      </c>
      <c r="B83" s="33">
        <f>-'Financial Statements'!C20</f>
        <v>-329000</v>
      </c>
      <c r="C83" s="33">
        <f>-'Financial Statements'!D20</f>
        <v>-338000</v>
      </c>
      <c r="D83" s="33">
        <f>-'Financial Statements'!E20</f>
        <v>-345000</v>
      </c>
      <c r="E83" s="33">
        <f>-'Financial Statements'!F20</f>
        <v>-332000</v>
      </c>
      <c r="F83" s="29">
        <f>-'Financial Statements'!G20</f>
        <v>-332011.6921094206</v>
      </c>
      <c r="G83" s="29">
        <f>-'Financial Statements'!H20</f>
        <v>-336085.2705527221</v>
      </c>
      <c r="H83" s="29">
        <f>-'Financial Statements'!I20</f>
        <v>-340836.56770947156</v>
      </c>
      <c r="I83" s="29">
        <f>-'Financial Statements'!J20</f>
        <v>-346291.64712524967</v>
      </c>
      <c r="J83" s="29">
        <f>-'Financial Statements'!K20</f>
        <v>-352480.8356678422</v>
      </c>
      <c r="K83" s="29">
        <f>-'Financial Statements'!L20</f>
        <v>-359439.0024061499</v>
      </c>
      <c r="L83" s="29">
        <f>-'Financial Statements'!M20</f>
        <v>-367205.88332975155</v>
      </c>
      <c r="M83" s="29">
        <f>-'Financial Statements'!N20</f>
        <v>-375826.4561105038</v>
      </c>
      <c r="N83" s="29">
        <f>-'Financial Statements'!O20</f>
        <v>-385351.36981337063</v>
      </c>
      <c r="O83" s="29">
        <f>-'Financial Statements'!P20</f>
        <v>-395837.435251477</v>
      </c>
      <c r="P83" s="29">
        <f>-'Financial Statements'!Q20</f>
        <v>-407348.182564407</v>
      </c>
      <c r="Q83" s="29">
        <f>-'Financial Statements'!R20</f>
        <v>-419568.6280413392</v>
      </c>
    </row>
    <row r="84" spans="1:17" ht="12">
      <c r="A84" t="s">
        <v>291</v>
      </c>
      <c r="B84" s="33">
        <f>-(IF('Financial Statements'!C22=0,0,(-'Financial Statements'!C23)/'Financial Statements'!C22))*B83</f>
        <v>-4802.371039805036</v>
      </c>
      <c r="C84" s="33">
        <f>-(IF('Financial Statements'!D22=0,0,(-'Financial Statements'!D23)/'Financial Statements'!D22))*C83</f>
        <v>-4618.834080717489</v>
      </c>
      <c r="D84" s="33">
        <f>-(IF('Financial Statements'!E22=0,0,(-'Financial Statements'!E23)/'Financial Statements'!E22))*D83</f>
        <v>-4271.403251907221</v>
      </c>
      <c r="E84" s="33">
        <f>-(IF('Financial Statements'!F22=0,0,(-'Financial Statements'!F23)/'Financial Statements'!F22))*E83</f>
        <v>-3254.237288135593</v>
      </c>
      <c r="F84" s="29">
        <f>-(IF('Financial Statements'!G22=0,0,(-'Financial Statements'!G23)/'Financial Statements'!G22))*F83</f>
        <v>-3254.351893251417</v>
      </c>
      <c r="G84" s="29">
        <f>-(IF('Financial Statements'!H22=0,0,(-'Financial Statements'!H23)/'Financial Statements'!H22))*G83</f>
        <v>-3294.280781403035</v>
      </c>
      <c r="H84" s="29">
        <f>-(IF('Financial Statements'!I22=0,0,(-'Financial Statements'!I23)/'Financial Statements'!I22))*H83</f>
        <v>-3340.8526138563684</v>
      </c>
      <c r="I84" s="29">
        <f>-(IF('Financial Statements'!J22=0,0,(-'Financial Statements'!J23)/'Financial Statements'!J22))*I83</f>
        <v>-3394.3228633881936</v>
      </c>
      <c r="J84" s="29">
        <f>-(IF('Financial Statements'!K22=0,0,(-'Financial Statements'!K23)/'Financial Statements'!K22))*J83</f>
        <v>-3454.9887915165255</v>
      </c>
      <c r="K84" s="29">
        <f>-(IF('Financial Statements'!L22=0,0,(-'Financial Statements'!L23)/'Financial Statements'!L22))*K83</f>
        <v>-3523.192182049254</v>
      </c>
      <c r="L84" s="29">
        <f>-(IF('Financial Statements'!M22=0,0,(-'Financial Statements'!M23)/'Financial Statements'!M22))*L83</f>
        <v>-3599.322523959174</v>
      </c>
      <c r="M84" s="29">
        <f>-(IF('Financial Statements'!N22=0,0,(-'Financial Statements'!N23)/'Financial Statements'!N22))*M83</f>
        <v>-3683.8206847670376</v>
      </c>
      <c r="N84" s="29">
        <f>-(IF('Financial Statements'!O22=0,0,(-'Financial Statements'!O23)/'Financial Statements'!O22))*N83</f>
        <v>-3777.183122532528</v>
      </c>
      <c r="O84" s="29">
        <f>-(IF('Financial Statements'!P22=0,0,(-'Financial Statements'!P23)/'Financial Statements'!P22))*O83</f>
        <v>-3879.9666922750453</v>
      </c>
      <c r="P84" s="29">
        <f>-(IF('Financial Statements'!Q22=0,0,(-'Financial Statements'!Q23)/'Financial Statements'!Q22))*P83</f>
        <v>-3992.7941113113206</v>
      </c>
      <c r="Q84" s="29">
        <f>-(IF('Financial Statements'!R22=0,0,(-'Financial Statements'!R23)/'Financial Statements'!R22))*Q83</f>
        <v>-4112.577934650661</v>
      </c>
    </row>
    <row r="85" spans="1:17" ht="12">
      <c r="A85" s="7" t="s">
        <v>3</v>
      </c>
      <c r="B85" s="33">
        <f>'Financial Statements'!C65</f>
        <v>-39287000</v>
      </c>
      <c r="C85" s="33">
        <f>'Financial Statements'!D65</f>
        <v>-37622000</v>
      </c>
      <c r="D85" s="33">
        <f>'Financial Statements'!E65</f>
        <v>-38863000</v>
      </c>
      <c r="E85" s="33">
        <f>'Financial Statements'!F65</f>
        <v>-39240000</v>
      </c>
      <c r="F85" s="29">
        <f>'Financial Statements'!G65</f>
        <v>0</v>
      </c>
      <c r="G85" s="29">
        <f>'Financial Statements'!H65</f>
        <v>0</v>
      </c>
      <c r="H85" s="29">
        <f>'Financial Statements'!I65</f>
        <v>0</v>
      </c>
      <c r="I85" s="29">
        <f>'Financial Statements'!J65</f>
        <v>0</v>
      </c>
      <c r="J85" s="29">
        <f>'Financial Statements'!K65</f>
        <v>0</v>
      </c>
      <c r="K85" s="29">
        <f>'Financial Statements'!L65</f>
        <v>0</v>
      </c>
      <c r="L85" s="29">
        <f>'Financial Statements'!M65</f>
        <v>0</v>
      </c>
      <c r="M85" s="29">
        <f>'Financial Statements'!N65</f>
        <v>0</v>
      </c>
      <c r="N85" s="29">
        <f>'Financial Statements'!O65</f>
        <v>0</v>
      </c>
      <c r="O85" s="29">
        <f>'Financial Statements'!P65</f>
        <v>0</v>
      </c>
      <c r="P85" s="29">
        <f>'Financial Statements'!Q65</f>
        <v>0</v>
      </c>
      <c r="Q85" s="29">
        <f>'Financial Statements'!R65</f>
        <v>0</v>
      </c>
    </row>
    <row r="86" spans="1:17" ht="12.75" thickBot="1">
      <c r="A86" t="s">
        <v>426</v>
      </c>
      <c r="B86" s="34">
        <f>SUM(B80:B85)</f>
        <v>-2365802.371039808</v>
      </c>
      <c r="C86" s="34">
        <f>SUM(C80:C85)</f>
        <v>2381.1659192815423</v>
      </c>
      <c r="D86" s="34">
        <f>SUM(D80:D85)</f>
        <v>10716728.596748091</v>
      </c>
      <c r="E86" s="34">
        <f>SUM(E80:E85)</f>
        <v>-9898254.237288136</v>
      </c>
      <c r="F86" s="30">
        <f aca="true" t="shared" si="19" ref="F86:Q86">SUM(F80:F85)</f>
        <v>39536436.81639994</v>
      </c>
      <c r="G86" s="30">
        <f t="shared" si="19"/>
        <v>40038310.3922542</v>
      </c>
      <c r="H86" s="30">
        <f t="shared" si="19"/>
        <v>40621330.76868503</v>
      </c>
      <c r="I86" s="30">
        <f t="shared" si="19"/>
        <v>41288705.65720567</v>
      </c>
      <c r="J86" s="30">
        <f t="shared" si="19"/>
        <v>42044156.10909485</v>
      </c>
      <c r="K86" s="30">
        <f t="shared" si="19"/>
        <v>42891950.82868882</v>
      </c>
      <c r="L86" s="30">
        <f t="shared" si="19"/>
        <v>43836946.03619101</v>
      </c>
      <c r="M86" s="30">
        <f t="shared" si="19"/>
        <v>44884631.39711955</v>
      </c>
      <c r="N86" s="30">
        <f t="shared" si="19"/>
        <v>46041182.621385425</v>
      </c>
      <c r="O86" s="30">
        <f t="shared" si="19"/>
        <v>47313521.43096714</v>
      </c>
      <c r="P86" s="30">
        <f t="shared" si="19"/>
        <v>48709383.70296033</v>
      </c>
      <c r="Q86" s="30">
        <f t="shared" si="19"/>
        <v>50170665.21404915</v>
      </c>
    </row>
    <row r="87" spans="2:17" ht="12.75" thickTop="1">
      <c r="B87" s="33"/>
      <c r="C87" s="33"/>
      <c r="D87" s="33"/>
      <c r="E87" s="33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</row>
    <row r="88" spans="1:17" ht="12">
      <c r="A88" t="s">
        <v>307</v>
      </c>
      <c r="B88" s="33"/>
      <c r="C88" s="33"/>
      <c r="D88" s="33"/>
      <c r="E88" s="33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</row>
    <row r="89" spans="1:17" ht="12">
      <c r="A89" t="s">
        <v>427</v>
      </c>
      <c r="B89" s="33">
        <f>-'Financial Statements'!C64</f>
        <v>0</v>
      </c>
      <c r="C89" s="33">
        <f>-'Financial Statements'!D64</f>
        <v>0</v>
      </c>
      <c r="D89" s="33">
        <f>-'Financial Statements'!E64</f>
        <v>0</v>
      </c>
      <c r="E89" s="33">
        <f>-'Financial Statements'!F64</f>
        <v>0</v>
      </c>
      <c r="F89" s="29">
        <f>-'Financial Statements'!G64</f>
        <v>0</v>
      </c>
      <c r="G89" s="29">
        <f>-'Financial Statements'!H64</f>
        <v>0</v>
      </c>
      <c r="H89" s="29">
        <f>-'Financial Statements'!I64</f>
        <v>0</v>
      </c>
      <c r="I89" s="29">
        <f>-'Financial Statements'!J64</f>
        <v>0</v>
      </c>
      <c r="J89" s="29">
        <f>-'Financial Statements'!K64</f>
        <v>0</v>
      </c>
      <c r="K89" s="29">
        <f>-'Financial Statements'!L64</f>
        <v>0</v>
      </c>
      <c r="L89" s="29">
        <f>-'Financial Statements'!M64</f>
        <v>0</v>
      </c>
      <c r="M89" s="29">
        <f>-'Financial Statements'!N64</f>
        <v>0</v>
      </c>
      <c r="N89" s="29">
        <f>-'Financial Statements'!O64</f>
        <v>0</v>
      </c>
      <c r="O89" s="29">
        <f>-'Financial Statements'!P64</f>
        <v>0</v>
      </c>
      <c r="P89" s="29">
        <f>-'Financial Statements'!Q64</f>
        <v>0</v>
      </c>
      <c r="Q89" s="29">
        <f>-'Financial Statements'!R64</f>
        <v>0</v>
      </c>
    </row>
    <row r="90" spans="1:17" ht="12">
      <c r="A90" t="s">
        <v>202</v>
      </c>
      <c r="B90" s="33">
        <f>-'Financial Statements'!C20</f>
        <v>-329000</v>
      </c>
      <c r="C90" s="33">
        <f>-'Financial Statements'!D20</f>
        <v>-338000</v>
      </c>
      <c r="D90" s="33">
        <f>-'Financial Statements'!E20</f>
        <v>-345000</v>
      </c>
      <c r="E90" s="33">
        <f>-'Financial Statements'!F20</f>
        <v>-332000</v>
      </c>
      <c r="F90" s="29">
        <f>-'Financial Statements'!G20</f>
        <v>-332011.6921094206</v>
      </c>
      <c r="G90" s="29">
        <f>-'Financial Statements'!H20</f>
        <v>-336085.2705527221</v>
      </c>
      <c r="H90" s="29">
        <f>-'Financial Statements'!I20</f>
        <v>-340836.56770947156</v>
      </c>
      <c r="I90" s="29">
        <f>-'Financial Statements'!J20</f>
        <v>-346291.64712524967</v>
      </c>
      <c r="J90" s="29">
        <f>-'Financial Statements'!K20</f>
        <v>-352480.8356678422</v>
      </c>
      <c r="K90" s="29">
        <f>-'Financial Statements'!L20</f>
        <v>-359439.0024061499</v>
      </c>
      <c r="L90" s="29">
        <f>-'Financial Statements'!M20</f>
        <v>-367205.88332975155</v>
      </c>
      <c r="M90" s="29">
        <f>-'Financial Statements'!N20</f>
        <v>-375826.4561105038</v>
      </c>
      <c r="N90" s="29">
        <f>-'Financial Statements'!O20</f>
        <v>-385351.36981337063</v>
      </c>
      <c r="O90" s="29">
        <f>-'Financial Statements'!P20</f>
        <v>-395837.435251477</v>
      </c>
      <c r="P90" s="29">
        <f>-'Financial Statements'!Q20</f>
        <v>-407348.182564407</v>
      </c>
      <c r="Q90" s="29">
        <f>-'Financial Statements'!R20</f>
        <v>-419568.6280413392</v>
      </c>
    </row>
    <row r="91" spans="1:17" ht="12">
      <c r="A91" t="s">
        <v>291</v>
      </c>
      <c r="B91" s="33">
        <f>-(IF('Financial Statements'!C22=0,0,(-'Financial Statements'!C23)/'Financial Statements'!C22))*B90</f>
        <v>-4802.371039805036</v>
      </c>
      <c r="C91" s="33">
        <f>-(IF('Financial Statements'!D22=0,0,(-'Financial Statements'!D23)/'Financial Statements'!D22))*C90</f>
        <v>-4618.834080717489</v>
      </c>
      <c r="D91" s="33">
        <f>-(IF('Financial Statements'!E22=0,0,(-'Financial Statements'!E23)/'Financial Statements'!E22))*D90</f>
        <v>-4271.403251907221</v>
      </c>
      <c r="E91" s="33">
        <f>-(IF('Financial Statements'!F22=0,0,(-'Financial Statements'!F23)/'Financial Statements'!F22))*E90</f>
        <v>-3254.237288135593</v>
      </c>
      <c r="F91" s="29">
        <f>-(IF('Financial Statements'!G22=0,0,(-'Financial Statements'!G23)/'Financial Statements'!G22))*F90</f>
        <v>-3254.351893251417</v>
      </c>
      <c r="G91" s="29">
        <f>-(IF('Financial Statements'!H22=0,0,(-'Financial Statements'!H23)/'Financial Statements'!H22))*G90</f>
        <v>-3294.280781403035</v>
      </c>
      <c r="H91" s="29">
        <f>-(IF('Financial Statements'!I22=0,0,(-'Financial Statements'!I23)/'Financial Statements'!I22))*H90</f>
        <v>-3340.8526138563684</v>
      </c>
      <c r="I91" s="29">
        <f>-(IF('Financial Statements'!J22=0,0,(-'Financial Statements'!J23)/'Financial Statements'!J22))*I90</f>
        <v>-3394.3228633881936</v>
      </c>
      <c r="J91" s="29">
        <f>-(IF('Financial Statements'!K22=0,0,(-'Financial Statements'!K23)/'Financial Statements'!K22))*J90</f>
        <v>-3454.9887915165255</v>
      </c>
      <c r="K91" s="29">
        <f>-(IF('Financial Statements'!L22=0,0,(-'Financial Statements'!L23)/'Financial Statements'!L22))*K90</f>
        <v>-3523.192182049254</v>
      </c>
      <c r="L91" s="29">
        <f>-(IF('Financial Statements'!M22=0,0,(-'Financial Statements'!M23)/'Financial Statements'!M22))*L90</f>
        <v>-3599.322523959174</v>
      </c>
      <c r="M91" s="29">
        <f>-(IF('Financial Statements'!N22=0,0,(-'Financial Statements'!N23)/'Financial Statements'!N22))*M90</f>
        <v>-3683.8206847670376</v>
      </c>
      <c r="N91" s="29">
        <f>-(IF('Financial Statements'!O22=0,0,(-'Financial Statements'!O23)/'Financial Statements'!O22))*N90</f>
        <v>-3777.183122532528</v>
      </c>
      <c r="O91" s="29">
        <f>-(IF('Financial Statements'!P22=0,0,(-'Financial Statements'!P23)/'Financial Statements'!P22))*O90</f>
        <v>-3879.9666922750453</v>
      </c>
      <c r="P91" s="29">
        <f>-(IF('Financial Statements'!Q22=0,0,(-'Financial Statements'!Q23)/'Financial Statements'!Q22))*P90</f>
        <v>-3992.7941113113206</v>
      </c>
      <c r="Q91" s="29">
        <f>-(IF('Financial Statements'!R22=0,0,(-'Financial Statements'!R23)/'Financial Statements'!R22))*Q90</f>
        <v>-4112.577934650661</v>
      </c>
    </row>
    <row r="92" spans="1:17" ht="12">
      <c r="A92" t="s">
        <v>79</v>
      </c>
      <c r="B92" s="33">
        <f>-'Financial Statements'!C28</f>
        <v>0</v>
      </c>
      <c r="C92" s="33">
        <f>-'Financial Statements'!D28</f>
        <v>0</v>
      </c>
      <c r="D92" s="33">
        <f>-'Financial Statements'!E28</f>
        <v>0</v>
      </c>
      <c r="E92" s="33">
        <f>-'Financial Statements'!F28</f>
        <v>0</v>
      </c>
      <c r="F92" s="29">
        <f>-'Financial Statements'!G28</f>
        <v>0</v>
      </c>
      <c r="G92" s="29">
        <f>-'Financial Statements'!H28</f>
        <v>0</v>
      </c>
      <c r="H92" s="29">
        <f>-'Financial Statements'!I28</f>
        <v>0</v>
      </c>
      <c r="I92" s="29">
        <f>-'Financial Statements'!J28</f>
        <v>0</v>
      </c>
      <c r="J92" s="29">
        <f>-'Financial Statements'!K28</f>
        <v>0</v>
      </c>
      <c r="K92" s="29">
        <f>-'Financial Statements'!L28</f>
        <v>0</v>
      </c>
      <c r="L92" s="29">
        <f>-'Financial Statements'!M28</f>
        <v>0</v>
      </c>
      <c r="M92" s="29">
        <f>-'Financial Statements'!N28</f>
        <v>0</v>
      </c>
      <c r="N92" s="29">
        <f>-'Financial Statements'!O28</f>
        <v>0</v>
      </c>
      <c r="O92" s="29">
        <f>-'Financial Statements'!P28</f>
        <v>0</v>
      </c>
      <c r="P92" s="29">
        <f>-'Financial Statements'!Q28</f>
        <v>0</v>
      </c>
      <c r="Q92" s="29">
        <f>-'Financial Statements'!R28</f>
        <v>0</v>
      </c>
    </row>
    <row r="93" spans="1:17" ht="12">
      <c r="A93" t="s">
        <v>327</v>
      </c>
      <c r="B93" s="33">
        <f>-'Financial Statements'!C27-('Financial Statements'!C53-'Financial Statements'!B53)</f>
        <v>0</v>
      </c>
      <c r="C93" s="33">
        <f>-'Financial Statements'!D27-('Financial Statements'!D53-'Financial Statements'!C53)</f>
        <v>0</v>
      </c>
      <c r="D93" s="33">
        <f>-'Financial Statements'!E27-('Financial Statements'!E53-'Financial Statements'!D53)</f>
        <v>0</v>
      </c>
      <c r="E93" s="33">
        <f>-'Financial Statements'!F27-('Financial Statements'!F53-'Financial Statements'!E53)</f>
        <v>0</v>
      </c>
      <c r="F93" s="29">
        <f>-'Financial Statements'!G27-('Financial Statements'!G53-'Financial Statements'!F53)</f>
        <v>0</v>
      </c>
      <c r="G93" s="29">
        <f>-'Financial Statements'!H27-('Financial Statements'!H53-'Financial Statements'!G53)</f>
        <v>0</v>
      </c>
      <c r="H93" s="29">
        <f>-'Financial Statements'!I27-('Financial Statements'!I53-'Financial Statements'!H53)</f>
        <v>0</v>
      </c>
      <c r="I93" s="29">
        <f>-'Financial Statements'!J27-('Financial Statements'!J53-'Financial Statements'!I53)</f>
        <v>0</v>
      </c>
      <c r="J93" s="29">
        <f>-'Financial Statements'!K27-('Financial Statements'!K53-'Financial Statements'!J53)</f>
        <v>0</v>
      </c>
      <c r="K93" s="29">
        <f>-'Financial Statements'!L27-('Financial Statements'!L53-'Financial Statements'!K53)</f>
        <v>0</v>
      </c>
      <c r="L93" s="29">
        <f>-'Financial Statements'!M27-('Financial Statements'!M53-'Financial Statements'!L53)</f>
        <v>0</v>
      </c>
      <c r="M93" s="29">
        <f>-'Financial Statements'!N27-('Financial Statements'!N53-'Financial Statements'!M53)</f>
        <v>0</v>
      </c>
      <c r="N93" s="29">
        <f>-'Financial Statements'!O27-('Financial Statements'!O53-'Financial Statements'!N53)</f>
        <v>0</v>
      </c>
      <c r="O93" s="29">
        <f>-'Financial Statements'!P27-('Financial Statements'!P53-'Financial Statements'!O53)</f>
        <v>0</v>
      </c>
      <c r="P93" s="29">
        <f>-'Financial Statements'!Q27-('Financial Statements'!Q53-'Financial Statements'!P53)</f>
        <v>0</v>
      </c>
      <c r="Q93" s="29">
        <f>-'Financial Statements'!R27-('Financial Statements'!R53-'Financial Statements'!Q53)</f>
        <v>0</v>
      </c>
    </row>
    <row r="94" spans="1:17" ht="12">
      <c r="A94" t="s">
        <v>101</v>
      </c>
      <c r="B94" s="33">
        <f>-('Financial Statements'!C55-'Financial Statements'!B55)</f>
        <v>460000</v>
      </c>
      <c r="C94" s="33">
        <f>-('Financial Statements'!D55-'Financial Statements'!C55)</f>
        <v>70000</v>
      </c>
      <c r="D94" s="33">
        <f>-('Financial Statements'!E55-'Financial Statements'!D55)</f>
        <v>-53920000</v>
      </c>
      <c r="E94" s="33">
        <f>-('Financial Statements'!F55-'Financial Statements'!E55)</f>
        <v>54410000</v>
      </c>
      <c r="F94" s="29">
        <f>-('Financial Statements'!G55-'Financial Statements'!F55)</f>
        <v>52252036.261607096</v>
      </c>
      <c r="G94" s="29">
        <f>-('Financial Statements'!H55-'Financial Statements'!G55)</f>
        <v>40440514.877090886</v>
      </c>
      <c r="H94" s="29">
        <f>-('Financial Statements'!I55-'Financial Statements'!H55)</f>
        <v>41038166.780153245</v>
      </c>
      <c r="I94" s="29">
        <f>-('Financial Statements'!J55-'Financial Statements'!I55)</f>
        <v>41721284.954209596</v>
      </c>
      <c r="J94" s="29">
        <f>-('Financial Statements'!K55-'Financial Statements'!J55)</f>
        <v>42493683.69067362</v>
      </c>
      <c r="K94" s="29">
        <f>-('Financial Statements'!L55-'Financial Statements'!K55)</f>
        <v>43359733.809867084</v>
      </c>
      <c r="L94" s="29">
        <f>-('Financial Statements'!M55-'Financial Statements'!L55)</f>
        <v>44324403.53287551</v>
      </c>
      <c r="M94" s="29">
        <f>-('Financial Statements'!N55-'Financial Statements'!M55)</f>
        <v>45393305.5352388</v>
      </c>
      <c r="N94" s="29">
        <f>-('Financial Statements'!O55-'Financial Statements'!N55)</f>
        <v>46572750.801024556</v>
      </c>
      <c r="O94" s="29">
        <f>-('Financial Statements'!P55-'Financial Statements'!O55)</f>
        <v>47869809.99386591</v>
      </c>
      <c r="P94" s="29">
        <f>-('Financial Statements'!Q55-'Financial Statements'!P55)</f>
        <v>49292383.17172778</v>
      </c>
      <c r="Q94" s="29">
        <f>-('Financial Statements'!R55-'Financial Statements'!Q55)</f>
        <v>50771154.666879594</v>
      </c>
    </row>
    <row r="95" spans="1:17" ht="12">
      <c r="A95" t="s">
        <v>292</v>
      </c>
      <c r="B95" s="33">
        <f>-('Financial Statements'!C44+'Financial Statements'!C49-'Financial Statements'!B49-'Financial Statements'!B44)</f>
        <v>-311000</v>
      </c>
      <c r="C95" s="33">
        <f>-('Financial Statements'!D44+'Financial Statements'!D49-'Financial Statements'!C49-'Financial Statements'!C44)</f>
        <v>-304000</v>
      </c>
      <c r="D95" s="33">
        <f>-('Financial Statements'!E44+'Financial Statements'!E49-'Financial Statements'!D49-'Financial Statements'!D44)</f>
        <v>99000</v>
      </c>
      <c r="E95" s="33">
        <f>-('Financial Statements'!F44+'Financial Statements'!F49-'Financial Statements'!E49-'Financial Statements'!E44)</f>
        <v>53000</v>
      </c>
      <c r="F95" s="29">
        <f>-('Financial Statements'!G44+'Financial Statements'!G49-'Financial Statements'!F49-'Financial Statements'!F44)</f>
        <v>-53333.40120447241</v>
      </c>
      <c r="G95" s="29">
        <f>-('Financial Statements'!H44+'Financial Statements'!H49-'Financial Statements'!G49-'Financial Statements'!G44)</f>
        <v>-62824.93350256095</v>
      </c>
      <c r="H95" s="29">
        <f>-('Financial Statements'!I44+'Financial Statements'!I49-'Financial Statements'!H49-'Financial Statements'!H44)</f>
        <v>-72658.591144871</v>
      </c>
      <c r="I95" s="29">
        <f>-('Financial Statements'!J44+'Financial Statements'!J49-'Financial Statements'!I49-'Financial Statements'!I44)</f>
        <v>-82893.3270152827</v>
      </c>
      <c r="J95" s="29">
        <f>-('Financial Statements'!K44+'Financial Statements'!K49-'Financial Statements'!J49-'Financial Statements'!J44)</f>
        <v>-93591.75711942732</v>
      </c>
      <c r="K95" s="29">
        <f>-('Financial Statements'!L44+'Financial Statements'!L49-'Financial Statements'!K49-'Financial Statements'!K44)</f>
        <v>-104820.78659008714</v>
      </c>
      <c r="L95" s="29">
        <f>-('Financial Statements'!M44+'Financial Statements'!M49-'Financial Statements'!L49-'Financial Statements'!L44)</f>
        <v>-116652.29083080872</v>
      </c>
      <c r="M95" s="29">
        <f>-('Financial Statements'!N44+'Financial Statements'!N49-'Financial Statements'!M49-'Financial Statements'!M44)</f>
        <v>-129163.86132395451</v>
      </c>
      <c r="N95" s="29">
        <f>-('Financial Statements'!O44+'Financial Statements'!O49-'Financial Statements'!N49-'Financial Statements'!N44)</f>
        <v>-142439.62670327365</v>
      </c>
      <c r="O95" s="29">
        <f>-('Financial Statements'!P44+'Financial Statements'!P49-'Financial Statements'!O49-'Financial Statements'!O44)</f>
        <v>-156571.16095501813</v>
      </c>
      <c r="P95" s="29">
        <f>-('Financial Statements'!Q44+'Financial Statements'!Q49-'Financial Statements'!P49-'Financial Statements'!P44)</f>
        <v>-171658.49209169365</v>
      </c>
      <c r="Q95" s="29">
        <f>-('Financial Statements'!R44+'Financial Statements'!R49-'Financial Statements'!Q49-'Financial Statements'!Q44)</f>
        <v>-176808.2468544426</v>
      </c>
    </row>
    <row r="96" spans="1:17" ht="12">
      <c r="A96" t="s">
        <v>406</v>
      </c>
      <c r="B96" s="33">
        <f>-('Financial Statements'!C54-'Financial Statements'!B54)</f>
        <v>0</v>
      </c>
      <c r="C96" s="33">
        <f>-('Financial Statements'!D54-'Financial Statements'!C54)</f>
        <v>0</v>
      </c>
      <c r="D96" s="33">
        <f>-('Financial Statements'!E54-'Financial Statements'!D54)</f>
        <v>0</v>
      </c>
      <c r="E96" s="33">
        <f>-('Financial Statements'!F54-'Financial Statements'!E54)</f>
        <v>0</v>
      </c>
      <c r="F96" s="29">
        <f>-('Financial Statements'!G54-'Financial Statements'!F54)</f>
        <v>0</v>
      </c>
      <c r="G96" s="29">
        <f>-('Financial Statements'!H54-'Financial Statements'!G54)</f>
        <v>0</v>
      </c>
      <c r="H96" s="29">
        <f>-('Financial Statements'!I54-'Financial Statements'!H54)</f>
        <v>0</v>
      </c>
      <c r="I96" s="29">
        <f>-('Financial Statements'!J54-'Financial Statements'!I54)</f>
        <v>0</v>
      </c>
      <c r="J96" s="29">
        <f>-('Financial Statements'!K54-'Financial Statements'!J54)</f>
        <v>0</v>
      </c>
      <c r="K96" s="29">
        <f>-('Financial Statements'!L54-'Financial Statements'!K54)</f>
        <v>0</v>
      </c>
      <c r="L96" s="29">
        <f>-('Financial Statements'!M54-'Financial Statements'!L54)</f>
        <v>0</v>
      </c>
      <c r="M96" s="29">
        <f>-('Financial Statements'!N54-'Financial Statements'!M54)</f>
        <v>0</v>
      </c>
      <c r="N96" s="29">
        <f>-('Financial Statements'!O54-'Financial Statements'!N54)</f>
        <v>0</v>
      </c>
      <c r="O96" s="29">
        <f>-('Financial Statements'!P54-'Financial Statements'!O54)</f>
        <v>0</v>
      </c>
      <c r="P96" s="29">
        <f>-('Financial Statements'!Q54-'Financial Statements'!P54)</f>
        <v>0</v>
      </c>
      <c r="Q96" s="29">
        <f>-('Financial Statements'!R54-'Financial Statements'!Q54)</f>
        <v>0</v>
      </c>
    </row>
    <row r="97" spans="1:17" ht="12.75" thickBot="1">
      <c r="A97" t="s">
        <v>426</v>
      </c>
      <c r="B97" s="34">
        <f aca="true" t="shared" si="20" ref="B97:Q97">SUM(B89:B96)</f>
        <v>-184802.37103980506</v>
      </c>
      <c r="C97" s="34">
        <f t="shared" si="20"/>
        <v>-576618.8340807175</v>
      </c>
      <c r="D97" s="34">
        <f t="shared" si="20"/>
        <v>-54170271.40325191</v>
      </c>
      <c r="E97" s="34">
        <f t="shared" si="20"/>
        <v>54127745.76271187</v>
      </c>
      <c r="F97" s="30">
        <f t="shared" si="20"/>
        <v>51863436.81639995</v>
      </c>
      <c r="G97" s="30">
        <f t="shared" si="20"/>
        <v>40038310.392254196</v>
      </c>
      <c r="H97" s="30">
        <f t="shared" si="20"/>
        <v>40621330.76868504</v>
      </c>
      <c r="I97" s="30">
        <f t="shared" si="20"/>
        <v>41288705.65720568</v>
      </c>
      <c r="J97" s="30">
        <f t="shared" si="20"/>
        <v>42044156.109094836</v>
      </c>
      <c r="K97" s="30">
        <f t="shared" si="20"/>
        <v>42891950.8286888</v>
      </c>
      <c r="L97" s="30">
        <f t="shared" si="20"/>
        <v>43836946.036190994</v>
      </c>
      <c r="M97" s="30">
        <f t="shared" si="20"/>
        <v>44884631.39711958</v>
      </c>
      <c r="N97" s="30">
        <f t="shared" si="20"/>
        <v>46041182.62138537</v>
      </c>
      <c r="O97" s="30">
        <f t="shared" si="20"/>
        <v>47313521.43096714</v>
      </c>
      <c r="P97" s="30">
        <f t="shared" si="20"/>
        <v>48709383.702960365</v>
      </c>
      <c r="Q97" s="30">
        <f t="shared" si="20"/>
        <v>50170665.21404917</v>
      </c>
    </row>
    <row r="98" spans="2:17" ht="12.75" thickTop="1">
      <c r="B98" s="14"/>
      <c r="C98" s="14"/>
      <c r="D98" s="14"/>
      <c r="E98" s="14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</row>
    <row r="99" spans="1:17" ht="12">
      <c r="A99" t="s">
        <v>389</v>
      </c>
      <c r="B99" s="33"/>
      <c r="C99" s="33"/>
      <c r="D99" s="33"/>
      <c r="E99" s="33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</row>
    <row r="100" spans="1:17" ht="12">
      <c r="A100" t="s">
        <v>282</v>
      </c>
      <c r="B100" s="33">
        <f>'Financial Statements'!C19</f>
        <v>37503000</v>
      </c>
      <c r="C100" s="33">
        <f>'Financial Statements'!D19</f>
        <v>37209000</v>
      </c>
      <c r="D100" s="33">
        <f>'Financial Statements'!E19</f>
        <v>37236000</v>
      </c>
      <c r="E100" s="33">
        <f>'Financial Statements'!F19</f>
        <v>37784000</v>
      </c>
      <c r="F100" s="42">
        <f>'Financial Statements'!G19</f>
        <v>38195105.90325053</v>
      </c>
      <c r="G100" s="42">
        <f>'Financial Statements'!H19</f>
        <v>38698328.31163957</v>
      </c>
      <c r="H100" s="42">
        <f>'Financial Statements'!I19</f>
        <v>39280429.525661446</v>
      </c>
      <c r="I100" s="42">
        <f>'Financial Statements'!J19</f>
        <v>39944622.308871835</v>
      </c>
      <c r="J100" s="42">
        <f>'Financial Statements'!K19</f>
        <v>40694621.54169173</v>
      </c>
      <c r="K100" s="42">
        <f>'Financial Statements'!L19</f>
        <v>41534678.57910834</v>
      </c>
      <c r="L100" s="42">
        <f>'Financial Statements'!M19</f>
        <v>42469621.06895862</v>
      </c>
      <c r="M100" s="42">
        <f>'Financial Statements'!N19</f>
        <v>43504898.74877636</v>
      </c>
      <c r="N100" s="42">
        <f>'Financial Statements'!O19</f>
        <v>44646635.824140735</v>
      </c>
      <c r="O100" s="42">
        <f>'Financial Statements'!P19</f>
        <v>45901690.62654575</v>
      </c>
      <c r="P100" s="42">
        <f>'Financial Statements'!Q19</f>
        <v>47277723.35574782</v>
      </c>
      <c r="Q100" s="42">
        <f>'Financial Statements'!R19</f>
        <v>48696055.05642026</v>
      </c>
    </row>
    <row r="101" spans="1:17" ht="12">
      <c r="A101" t="s">
        <v>103</v>
      </c>
      <c r="B101" s="33">
        <f>'Financial Statements'!C23+(IF('Financial Statements'!C22=0,0,(-'Financial Statements'!C23)/'Financial Statements'!C22))*'Financial Statements'!C20</f>
        <v>570197.628960195</v>
      </c>
      <c r="C101" s="33">
        <f>'Financial Statements'!D23+(IF('Financial Statements'!D22=0,0,(-'Financial Statements'!D23)/'Financial Statements'!D22))*'Financial Statements'!D20</f>
        <v>510381.16591928253</v>
      </c>
      <c r="D101" s="33">
        <f>'Financial Statements'!E23+(IF('Financial Statements'!E22=0,0,(-'Financial Statements'!E23)/'Financial Statements'!E22))*'Financial Statements'!E20</f>
        <v>477728.5967480928</v>
      </c>
      <c r="E101" s="33">
        <f>'Financial Statements'!F23+(IF('Financial Statements'!F22=0,0,(-'Financial Statements'!F23)/'Financial Statements'!F22))*'Financial Statements'!F20</f>
        <v>380745.76271186443</v>
      </c>
      <c r="F101" s="29">
        <f>'Financial Statements'!G23+(IF('Financial Statements'!G22=0,0,(-'Financial Statements'!G23)/'Financial Statements'!G22))*'Financial Statements'!G20</f>
        <v>384893.1156157224</v>
      </c>
      <c r="G101" s="29">
        <f>'Financial Statements'!H23+(IF('Financial Statements'!H22=0,0,(-'Financial Statements'!H23)/'Financial Statements'!H22))*'Financial Statements'!H20</f>
        <v>389964.3383024701</v>
      </c>
      <c r="H101" s="29">
        <f>'Financial Statements'!I23+(IF('Financial Statements'!I22=0,0,(-'Financial Statements'!I23)/'Financial Statements'!I22))*'Financial Statements'!I20</f>
        <v>395830.43109978404</v>
      </c>
      <c r="I101" s="29">
        <f>'Financial Statements'!J23+(IF('Financial Statements'!J22=0,0,(-'Financial Statements'!J23)/'Financial Statements'!J22))*'Financial Statements'!J20</f>
        <v>402523.7705808337</v>
      </c>
      <c r="J101" s="29">
        <f>'Financial Statements'!K23+(IF('Financial Statements'!K22=0,0,(-'Financial Statements'!K23)/'Financial Statements'!K22))*'Financial Statements'!K20</f>
        <v>410081.7932438521</v>
      </c>
      <c r="K101" s="29">
        <f>'Financial Statements'!L23+(IF('Financial Statements'!L22=0,0,(-'Financial Statements'!L23)/'Financial Statements'!L22))*'Financial Statements'!L20</f>
        <v>418547.34175119613</v>
      </c>
      <c r="L101" s="29">
        <f>'Financial Statements'!M23+(IF('Financial Statements'!M22=0,0,(-'Financial Statements'!M23)/'Financial Statements'!M22))*'Financial Statements'!M20</f>
        <v>427969.0661961249</v>
      </c>
      <c r="M101" s="29">
        <f>'Financial Statements'!N23+(IF('Financial Statements'!N22=0,0,(-'Financial Statements'!N23)/'Financial Statements'!N22))*'Financial Statements'!N20</f>
        <v>438401.88561724377</v>
      </c>
      <c r="N101" s="29">
        <f>'Financial Statements'!O23+(IF('Financial Statements'!O22=0,0,(-'Financial Statements'!O23)/'Financial Statements'!O22))*'Financial Statements'!O20</f>
        <v>449907.51583669614</v>
      </c>
      <c r="O101" s="29">
        <f>'Financial Statements'!P23+(IF('Financial Statements'!P22=0,0,(-'Financial Statements'!P23)/'Financial Statements'!P22))*'Financial Statements'!P20</f>
        <v>462555.0706563603</v>
      </c>
      <c r="P101" s="29">
        <f>'Financial Statements'!Q23+(IF('Financial Statements'!Q22=0,0,(-'Financial Statements'!Q23)/'Financial Statements'!Q22))*'Financial Statements'!Q20</f>
        <v>476421.74452395254</v>
      </c>
      <c r="Q101" s="29">
        <f>'Financial Statements'!R23+(IF('Financial Statements'!R22=0,0,(-'Financial Statements'!R23)/'Financial Statements'!R22))*'Financial Statements'!R20</f>
        <v>490714.3968596712</v>
      </c>
    </row>
    <row r="102" spans="1:17" ht="12">
      <c r="A102" t="s">
        <v>257</v>
      </c>
      <c r="B102" s="33">
        <f>'Financial Statements'!C51-'Financial Statements'!B51</f>
        <v>-24000</v>
      </c>
      <c r="C102" s="33">
        <f>'Financial Statements'!D51-'Financial Statements'!C51</f>
        <v>20000</v>
      </c>
      <c r="D102" s="33">
        <f>'Financial Statements'!E51-'Financial Statements'!D51</f>
        <v>-14000</v>
      </c>
      <c r="E102" s="33">
        <f>'Financial Statements'!F51-'Financial Statements'!E51</f>
        <v>-111000</v>
      </c>
      <c r="F102" s="29">
        <f>'Financial Statements'!G51-'Financial Statements'!F51</f>
        <v>2911.9787783194624</v>
      </c>
      <c r="G102" s="29">
        <f>'Financial Statements'!H51-'Financial Statements'!G51</f>
        <v>3430.2120055572886</v>
      </c>
      <c r="H102" s="29">
        <f>'Financial Statements'!I51-'Financial Statements'!H51</f>
        <v>3967.1251166840084</v>
      </c>
      <c r="I102" s="29">
        <f>'Financial Statements'!J51-'Financial Statements'!I51</f>
        <v>4525.936911605706</v>
      </c>
      <c r="J102" s="29">
        <f>'Financial Statements'!K51-'Financial Statements'!J51</f>
        <v>5110.066194963409</v>
      </c>
      <c r="K102" s="29">
        <f>'Financial Statements'!L51-'Financial Statements'!K51</f>
        <v>5723.165955736593</v>
      </c>
      <c r="L102" s="29">
        <f>'Financial Statements'!M51-'Financial Statements'!L51</f>
        <v>6369.160557365161</v>
      </c>
      <c r="M102" s="29">
        <f>'Financial Statements'!N51-'Financial Statements'!M51</f>
        <v>7052.286458520568</v>
      </c>
      <c r="N102" s="29">
        <f>'Financial Statements'!O51-'Financial Statements'!N51</f>
        <v>7777.137043284776</v>
      </c>
      <c r="O102" s="29">
        <f>'Financial Statements'!P51-'Financial Statements'!O51</f>
        <v>8548.712208506418</v>
      </c>
      <c r="P102" s="29">
        <f>'Financial Statements'!Q51-'Financial Statements'!P51</f>
        <v>9372.473436916305</v>
      </c>
      <c r="Q102" s="29">
        <f>'Financial Statements'!R51-'Financial Statements'!Q51</f>
        <v>9653.647640023846</v>
      </c>
    </row>
    <row r="103" spans="1:17" ht="12">
      <c r="A103" t="s">
        <v>104</v>
      </c>
      <c r="B103" s="33">
        <f>SUM(B100:B102)</f>
        <v>38049197.62896019</v>
      </c>
      <c r="C103" s="33">
        <f>SUM(C100:C102)</f>
        <v>37739381.16591928</v>
      </c>
      <c r="D103" s="33">
        <f>SUM(D100:D102)</f>
        <v>37699728.59674809</v>
      </c>
      <c r="E103" s="33">
        <f>SUM(E100:E102)</f>
        <v>38053745.76271187</v>
      </c>
      <c r="F103" s="29">
        <f aca="true" t="shared" si="21" ref="F103:Q103">SUM(F100:F102)</f>
        <v>38582910.99764457</v>
      </c>
      <c r="G103" s="29">
        <f t="shared" si="21"/>
        <v>39091722.861947596</v>
      </c>
      <c r="H103" s="29">
        <f t="shared" si="21"/>
        <v>39680227.08187792</v>
      </c>
      <c r="I103" s="29">
        <f t="shared" si="21"/>
        <v>40351672.01636428</v>
      </c>
      <c r="J103" s="29">
        <f t="shared" si="21"/>
        <v>41109813.40113055</v>
      </c>
      <c r="K103" s="29">
        <f t="shared" si="21"/>
        <v>41958949.086815275</v>
      </c>
      <c r="L103" s="29">
        <f t="shared" si="21"/>
        <v>42903959.295712106</v>
      </c>
      <c r="M103" s="29">
        <f t="shared" si="21"/>
        <v>43950352.920852125</v>
      </c>
      <c r="N103" s="29">
        <f t="shared" si="21"/>
        <v>45104320.47702071</v>
      </c>
      <c r="O103" s="29">
        <f t="shared" si="21"/>
        <v>46372794.40941062</v>
      </c>
      <c r="P103" s="29">
        <f t="shared" si="21"/>
        <v>47763517.57370868</v>
      </c>
      <c r="Q103" s="29">
        <f t="shared" si="21"/>
        <v>49196423.100919954</v>
      </c>
    </row>
    <row r="104" spans="1:17" ht="12">
      <c r="A104" t="s">
        <v>432</v>
      </c>
      <c r="B104" s="33">
        <f>-'Financial Statements'!C18</f>
        <v>-833000</v>
      </c>
      <c r="C104" s="33">
        <f>-'Financial Statements'!D18</f>
        <v>-889000</v>
      </c>
      <c r="D104" s="33">
        <f>-'Financial Statements'!E18</f>
        <v>-886000</v>
      </c>
      <c r="E104" s="33">
        <f>-'Financial Statements'!F18</f>
        <v>-934000</v>
      </c>
      <c r="F104" s="29">
        <f>-'Financial Statements'!G18</f>
        <v>-927571.2029350676</v>
      </c>
      <c r="G104" s="29">
        <f>-'Financial Statements'!H18</f>
        <v>-938951.928815222</v>
      </c>
      <c r="H104" s="29">
        <f>-'Financial Statements'!I18</f>
        <v>-952226.058985721</v>
      </c>
      <c r="I104" s="29">
        <f>-'Financial Statements'!J18</f>
        <v>-967466.4095397971</v>
      </c>
      <c r="J104" s="29">
        <f>-'Financial Statements'!K18</f>
        <v>-984757.7074009355</v>
      </c>
      <c r="K104" s="29">
        <f>-'Financial Statements'!L18</f>
        <v>-1004197.3694521976</v>
      </c>
      <c r="L104" s="29">
        <f>-'Financial Statements'!M18</f>
        <v>-1025896.4097347436</v>
      </c>
      <c r="M104" s="29">
        <f>-'Financial Statements'!N18</f>
        <v>-1049980.4864533325</v>
      </c>
      <c r="N104" s="29">
        <f>-'Financial Statements'!O18</f>
        <v>-1076591.1024984717</v>
      </c>
      <c r="O104" s="29">
        <f>-'Financial Statements'!P18</f>
        <v>-1105886.9753958473</v>
      </c>
      <c r="P104" s="29">
        <f>-'Financial Statements'!Q18</f>
        <v>-1138045.595063426</v>
      </c>
      <c r="Q104" s="29">
        <f>-'Financial Statements'!R18</f>
        <v>-1172186.9629153288</v>
      </c>
    </row>
    <row r="105" spans="1:17" ht="12">
      <c r="A105" s="7" t="s">
        <v>347</v>
      </c>
      <c r="B105" s="33">
        <f>'Financial Statements'!C21</f>
        <v>1560000</v>
      </c>
      <c r="C105" s="33">
        <f>'Financial Statements'!D21</f>
        <v>140000</v>
      </c>
      <c r="D105" s="33">
        <f>'Financial Statements'!E21</f>
        <v>1350000</v>
      </c>
      <c r="E105" s="33">
        <f>'Financial Statements'!F21</f>
        <v>1060000</v>
      </c>
      <c r="F105" s="29">
        <f>'Financial Statements'!G21</f>
        <v>1072010.4961284772</v>
      </c>
      <c r="G105" s="29">
        <f>'Financial Statements'!H21</f>
        <v>1086158.4522603475</v>
      </c>
      <c r="H105" s="29">
        <f>'Financial Statements'!I21</f>
        <v>1102520.9138311066</v>
      </c>
      <c r="I105" s="29">
        <f>'Financial Statements'!J21</f>
        <v>1121188.2022602973</v>
      </c>
      <c r="J105" s="29">
        <f>'Financial Statements'!K21</f>
        <v>1142264.739873765</v>
      </c>
      <c r="K105" s="29">
        <f>'Financial Statements'!L21</f>
        <v>1165870.0158001496</v>
      </c>
      <c r="L105" s="29">
        <f>'Financial Statements'!M21</f>
        <v>1192139.705258543</v>
      </c>
      <c r="M105" s="29">
        <f>'Financial Statements'!N21</f>
        <v>1221226.9567995227</v>
      </c>
      <c r="N105" s="29">
        <f>'Financial Statements'!O21</f>
        <v>1253303.8644488684</v>
      </c>
      <c r="O105" s="29">
        <f>'Financial Statements'!P21</f>
        <v>1288563.1443750039</v>
      </c>
      <c r="P105" s="29">
        <f>'Financial Statements'!Q21</f>
        <v>1327220.038706254</v>
      </c>
      <c r="Q105" s="29">
        <f>'Financial Statements'!R21</f>
        <v>1367036.6398674417</v>
      </c>
    </row>
    <row r="106" spans="1:17" ht="12">
      <c r="A106" s="7" t="s">
        <v>348</v>
      </c>
      <c r="B106" s="33">
        <f>'Financial Statements'!C24</f>
        <v>0</v>
      </c>
      <c r="C106" s="33">
        <f>'Financial Statements'!D24</f>
        <v>0</v>
      </c>
      <c r="D106" s="33">
        <f>'Financial Statements'!E24</f>
        <v>0</v>
      </c>
      <c r="E106" s="33">
        <f>'Financial Statements'!F24</f>
        <v>0</v>
      </c>
      <c r="F106" s="29">
        <f>'Financial Statements'!G24</f>
        <v>0</v>
      </c>
      <c r="G106" s="29">
        <f>'Financial Statements'!H24</f>
        <v>0</v>
      </c>
      <c r="H106" s="29">
        <f>'Financial Statements'!I24</f>
        <v>0</v>
      </c>
      <c r="I106" s="29">
        <f>'Financial Statements'!J24</f>
        <v>0</v>
      </c>
      <c r="J106" s="29">
        <f>'Financial Statements'!K24</f>
        <v>0</v>
      </c>
      <c r="K106" s="29">
        <f>'Financial Statements'!L24</f>
        <v>0</v>
      </c>
      <c r="L106" s="29">
        <f>'Financial Statements'!M24</f>
        <v>0</v>
      </c>
      <c r="M106" s="29">
        <f>'Financial Statements'!N24</f>
        <v>0</v>
      </c>
      <c r="N106" s="29">
        <f>'Financial Statements'!O24</f>
        <v>0</v>
      </c>
      <c r="O106" s="29">
        <f>'Financial Statements'!P24</f>
        <v>0</v>
      </c>
      <c r="P106" s="29">
        <f>'Financial Statements'!Q24</f>
        <v>0</v>
      </c>
      <c r="Q106" s="29">
        <f>'Financial Statements'!R24</f>
        <v>0</v>
      </c>
    </row>
    <row r="107" spans="1:17" ht="12">
      <c r="A107" s="7" t="s">
        <v>349</v>
      </c>
      <c r="B107" s="33">
        <f>'Financial Statements'!C26</f>
        <v>0</v>
      </c>
      <c r="C107" s="33">
        <f>'Financial Statements'!D26</f>
        <v>0</v>
      </c>
      <c r="D107" s="33">
        <f>'Financial Statements'!E26</f>
        <v>0</v>
      </c>
      <c r="E107" s="33">
        <f>'Financial Statements'!F26</f>
        <v>0</v>
      </c>
      <c r="F107" s="29">
        <f>'Financial Statements'!G26</f>
        <v>0</v>
      </c>
      <c r="G107" s="29">
        <f>'Financial Statements'!H26</f>
        <v>0</v>
      </c>
      <c r="H107" s="29">
        <f>'Financial Statements'!I26</f>
        <v>0</v>
      </c>
      <c r="I107" s="29">
        <f>'Financial Statements'!J26</f>
        <v>0</v>
      </c>
      <c r="J107" s="29">
        <f>'Financial Statements'!K26</f>
        <v>0</v>
      </c>
      <c r="K107" s="29">
        <f>'Financial Statements'!L26</f>
        <v>0</v>
      </c>
      <c r="L107" s="29">
        <f>'Financial Statements'!M26</f>
        <v>0</v>
      </c>
      <c r="M107" s="29">
        <f>'Financial Statements'!N26</f>
        <v>0</v>
      </c>
      <c r="N107" s="29">
        <f>'Financial Statements'!O26</f>
        <v>0</v>
      </c>
      <c r="O107" s="29">
        <f>'Financial Statements'!P26</f>
        <v>0</v>
      </c>
      <c r="P107" s="29">
        <f>'Financial Statements'!Q26</f>
        <v>0</v>
      </c>
      <c r="Q107" s="29">
        <f>'Financial Statements'!R26</f>
        <v>0</v>
      </c>
    </row>
    <row r="108" spans="1:17" ht="12">
      <c r="A108" t="s">
        <v>382</v>
      </c>
      <c r="B108" s="33">
        <f>SUM(B103:B107)</f>
        <v>38776197.62896019</v>
      </c>
      <c r="C108" s="33">
        <f>SUM(C103:C107)</f>
        <v>36990381.16591928</v>
      </c>
      <c r="D108" s="33">
        <f>SUM(D103:D107)</f>
        <v>38163728.59674809</v>
      </c>
      <c r="E108" s="33">
        <f>SUM(E103:E107)</f>
        <v>38179745.76271187</v>
      </c>
      <c r="F108" s="29">
        <f aca="true" t="shared" si="22" ref="F108:Q108">SUM(F103:F107)</f>
        <v>38727350.29083798</v>
      </c>
      <c r="G108" s="29">
        <f t="shared" si="22"/>
        <v>39238929.38539272</v>
      </c>
      <c r="H108" s="29">
        <f t="shared" si="22"/>
        <v>39830521.93672331</v>
      </c>
      <c r="I108" s="29">
        <f t="shared" si="22"/>
        <v>40505393.80908478</v>
      </c>
      <c r="J108" s="29">
        <f t="shared" si="22"/>
        <v>41267320.43360338</v>
      </c>
      <c r="K108" s="29">
        <f t="shared" si="22"/>
        <v>42120621.73316322</v>
      </c>
      <c r="L108" s="29">
        <f t="shared" si="22"/>
        <v>43070202.591235906</v>
      </c>
      <c r="M108" s="29">
        <f t="shared" si="22"/>
        <v>44121599.391198315</v>
      </c>
      <c r="N108" s="29">
        <f t="shared" si="22"/>
        <v>45281033.23897111</v>
      </c>
      <c r="O108" s="29">
        <f t="shared" si="22"/>
        <v>46555470.57838977</v>
      </c>
      <c r="P108" s="29">
        <f t="shared" si="22"/>
        <v>47952692.01735151</v>
      </c>
      <c r="Q108" s="29">
        <f t="shared" si="22"/>
        <v>49391272.77787206</v>
      </c>
    </row>
    <row r="109" spans="1:17" ht="12">
      <c r="A109" t="s">
        <v>384</v>
      </c>
      <c r="B109" s="33">
        <f>-('Financial Statements'!C37-'Financial Statements'!B37)+('Financial Statements'!C48-'Financial Statements'!C44-'Financial Statements'!B48+'Financial Statements'!B44)</f>
        <v>-2880000</v>
      </c>
      <c r="C109" s="33">
        <f>-('Financial Statements'!D37-'Financial Statements'!C37)+('Financial Statements'!D48-'Financial Statements'!D44-'Financial Statements'!C48+'Financial Statements'!C44)</f>
        <v>-396000</v>
      </c>
      <c r="D109" s="33">
        <f>-('Financial Statements'!E37-'Financial Statements'!D37)+('Financial Statements'!E48-'Financial Statements'!E44-'Financial Statements'!D48+'Financial Statements'!D44)</f>
        <v>10175000</v>
      </c>
      <c r="E109" s="33">
        <f>-('Financial Statements'!F37-'Financial Statements'!E37)+('Financial Statements'!F48-'Financial Statements'!F44-'Financial Statements'!E48+'Financial Statements'!E44)</f>
        <v>-9979000</v>
      </c>
      <c r="F109" s="29">
        <f>-('Financial Statements'!G37-'Financial Statements'!F37)+('Financial Statements'!G48-'Financial Statements'!G44-'Financial Statements'!F48+'Financial Statements'!F44)</f>
        <v>-28190.673931746278</v>
      </c>
      <c r="G109" s="29">
        <f>-('Financial Statements'!H37-'Financial Statements'!G37)+('Financial Statements'!H48-'Financial Statements'!H44-'Financial Statements'!G48+'Financial Statements'!G44)</f>
        <v>-33207.655524616595</v>
      </c>
      <c r="H109" s="29">
        <f>-('Financial Statements'!I37-'Financial Statements'!H37)+('Financial Statements'!I48-'Financial Statements'!I44-'Financial Statements'!H48+'Financial Statements'!H44)</f>
        <v>-38405.475837782054</v>
      </c>
      <c r="I109" s="29">
        <f>-('Financial Statements'!J37-'Financial Statements'!I37)+('Financial Statements'!J48-'Financial Statements'!J44-'Financial Statements'!I48+'Financial Statements'!I44)</f>
        <v>-43815.29586021241</v>
      </c>
      <c r="J109" s="29">
        <f>-('Financial Statements'!K37-'Financial Statements'!J37)+('Financial Statements'!K48-'Financial Statements'!K44-'Financial Statements'!J48+'Financial Statements'!J44)</f>
        <v>-49470.2128134988</v>
      </c>
      <c r="K109" s="29">
        <f>-('Financial Statements'!L37-'Financial Statements'!K37)+('Financial Statements'!L48-'Financial Statements'!L44-'Financial Statements'!K48+'Financial Statements'!K44)</f>
        <v>-55405.59104230665</v>
      </c>
      <c r="L109" s="29">
        <f>-('Financial Statements'!M37-'Financial Statements'!L37)+('Financial Statements'!M48-'Financial Statements'!M44-'Financial Statements'!L48+'Financial Statements'!L44)</f>
        <v>-61659.42204951032</v>
      </c>
      <c r="M109" s="29">
        <f>-('Financial Statements'!N37-'Financial Statements'!M37)+('Financial Statements'!N48-'Financial Statements'!N44-'Financial Statements'!M48+'Financial Statements'!M44)</f>
        <v>-68272.71871128117</v>
      </c>
      <c r="N109" s="29">
        <f>-('Financial Statements'!O37-'Financial Statements'!N37)+('Financial Statements'!O48-'Financial Statements'!O44-'Financial Statements'!N48+'Financial Statements'!N44)</f>
        <v>-75289.94927506908</v>
      </c>
      <c r="O109" s="29">
        <f>-('Financial Statements'!P37-'Financial Statements'!O37)+('Financial Statements'!P48-'Financial Statements'!P44-'Financial Statements'!O48+'Financial Statements'!O44)</f>
        <v>-82759.51741153258</v>
      </c>
      <c r="P109" s="29">
        <f>-('Financial Statements'!Q37-'Financial Statements'!P37)+('Financial Statements'!Q48-'Financial Statements'!Q44-'Financial Statements'!P48+'Financial Statements'!P44)</f>
        <v>-90734.29537372684</v>
      </c>
      <c r="Q109" s="29">
        <f>-('Financial Statements'!R37-'Financial Statements'!Q37)+('Financial Statements'!R48-'Financial Statements'!R44-'Financial Statements'!Q48+'Financial Statements'!Q44)</f>
        <v>-93456.32423493915</v>
      </c>
    </row>
    <row r="110" spans="1:17" ht="12">
      <c r="A110" t="s">
        <v>383</v>
      </c>
      <c r="B110" s="33">
        <f>-('Financial Statements'!C38-'Financial Statements'!B38-'Financial Statements'!C18)</f>
        <v>873000</v>
      </c>
      <c r="C110" s="33">
        <f>-('Financial Statements'!D38-'Financial Statements'!C38-'Financial Statements'!D18)</f>
        <v>1009000</v>
      </c>
      <c r="D110" s="33">
        <f>-('Financial Statements'!E38-'Financial Statements'!D38-'Financial Statements'!E18)</f>
        <v>1116000</v>
      </c>
      <c r="E110" s="33">
        <f>-('Financial Statements'!F38-'Financial Statements'!E38-'Financial Statements'!F18)</f>
        <v>1144000</v>
      </c>
      <c r="F110" s="29">
        <f>-('Financial Statements'!G38-'Financial Statements'!F38-'Financial Statements'!G18)</f>
        <v>833413.4455504973</v>
      </c>
      <c r="G110" s="29">
        <f>-('Financial Statements'!H38-'Financial Statements'!G38-'Financial Statements'!H18)</f>
        <v>828037.2915927271</v>
      </c>
      <c r="H110" s="29">
        <f>-('Financial Statements'!I38-'Financial Statements'!H38-'Financial Statements'!I18)</f>
        <v>823950.5347847712</v>
      </c>
      <c r="I110" s="29">
        <f>-('Financial Statements'!J38-'Financial Statements'!I38-'Financial Statements'!J18)</f>
        <v>821121.9125147264</v>
      </c>
      <c r="J110" s="29">
        <f>-('Financial Statements'!K38-'Financial Statements'!J38-'Financial Statements'!K18)</f>
        <v>819525.6059217684</v>
      </c>
      <c r="K110" s="29">
        <f>-('Financial Statements'!L38-'Financial Statements'!K38-'Financial Statements'!L18)</f>
        <v>819140.9138406371</v>
      </c>
      <c r="L110" s="29">
        <f>-('Financial Statements'!M38-'Financial Statements'!L38-'Financial Statements'!M18)</f>
        <v>819951.9574713008</v>
      </c>
      <c r="M110" s="29">
        <f>-('Financial Statements'!N38-'Financial Statements'!M38-'Financial Statements'!N18)</f>
        <v>821947.410693387</v>
      </c>
      <c r="N110" s="29">
        <f>-('Financial Statements'!O38-'Financial Statements'!N38-'Financial Statements'!O18)</f>
        <v>825120.2510210536</v>
      </c>
      <c r="O110" s="29">
        <f>-('Financial Statements'!P38-'Financial Statements'!O38-'Financial Statements'!P18)</f>
        <v>829467.5261635969</v>
      </c>
      <c r="P110" s="29">
        <f>-('Financial Statements'!Q38-'Financial Statements'!P38-'Financial Statements'!Q18)</f>
        <v>834990.1310137198</v>
      </c>
      <c r="Q110" s="29">
        <f>-('Financial Statements'!R38-'Financial Statements'!Q38-'Financial Statements'!R18)</f>
        <v>860039.8349441304</v>
      </c>
    </row>
    <row r="111" spans="1:17" ht="12">
      <c r="A111" t="s">
        <v>72</v>
      </c>
      <c r="B111" s="33">
        <f>-('Financial Statements'!C39-'Financial Statements'!B39)</f>
        <v>100000</v>
      </c>
      <c r="C111" s="33">
        <f>-('Financial Statements'!D39-'Financial Statements'!C39)</f>
        <v>-11000</v>
      </c>
      <c r="D111" s="33">
        <f>-('Financial Statements'!E39-'Financial Statements'!D39)</f>
        <v>64000</v>
      </c>
      <c r="E111" s="33">
        <f>-('Financial Statements'!F39-'Financial Statements'!E39)</f>
        <v>0</v>
      </c>
      <c r="F111" s="29">
        <f>-('Financial Statements'!G39-'Financial Statements'!F39)</f>
        <v>0</v>
      </c>
      <c r="G111" s="29">
        <f>-('Financial Statements'!H39-'Financial Statements'!G39)</f>
        <v>0</v>
      </c>
      <c r="H111" s="29">
        <f>-('Financial Statements'!I39-'Financial Statements'!H39)</f>
        <v>0</v>
      </c>
      <c r="I111" s="29">
        <f>-('Financial Statements'!J39-'Financial Statements'!I39)</f>
        <v>0</v>
      </c>
      <c r="J111" s="29">
        <f>-('Financial Statements'!K39-'Financial Statements'!J39)</f>
        <v>0</v>
      </c>
      <c r="K111" s="29">
        <f>-('Financial Statements'!L39-'Financial Statements'!K39)</f>
        <v>0</v>
      </c>
      <c r="L111" s="29">
        <f>-('Financial Statements'!M39-'Financial Statements'!L39)</f>
        <v>0</v>
      </c>
      <c r="M111" s="29">
        <f>-('Financial Statements'!N39-'Financial Statements'!M39)</f>
        <v>0</v>
      </c>
      <c r="N111" s="29">
        <f>-('Financial Statements'!O39-'Financial Statements'!N39)</f>
        <v>0</v>
      </c>
      <c r="O111" s="29">
        <f>-('Financial Statements'!P39-'Financial Statements'!O39)</f>
        <v>0</v>
      </c>
      <c r="P111" s="29">
        <f>-('Financial Statements'!Q39-'Financial Statements'!P39)</f>
        <v>0</v>
      </c>
      <c r="Q111" s="29">
        <f>-('Financial Statements'!R39-'Financial Statements'!Q39)</f>
        <v>0</v>
      </c>
    </row>
    <row r="112" spans="1:17" ht="12">
      <c r="A112" t="s">
        <v>201</v>
      </c>
      <c r="B112" s="33">
        <f>-('Financial Statements'!C40-'Financial Statements'!B40)</f>
        <v>0</v>
      </c>
      <c r="C112" s="33">
        <f>-('Financial Statements'!D40-'Financial Statements'!C40)</f>
        <v>0</v>
      </c>
      <c r="D112" s="33">
        <f>-('Financial Statements'!E40-'Financial Statements'!D40)</f>
        <v>0</v>
      </c>
      <c r="E112" s="33">
        <f>-('Financial Statements'!F40-'Financial Statements'!E40)</f>
        <v>0</v>
      </c>
      <c r="F112" s="29">
        <f>-('Financial Statements'!G40-'Financial Statements'!F40)</f>
        <v>0</v>
      </c>
      <c r="G112" s="29">
        <f>-('Financial Statements'!H40-'Financial Statements'!G40)</f>
        <v>0</v>
      </c>
      <c r="H112" s="29">
        <f>-('Financial Statements'!I40-'Financial Statements'!H40)</f>
        <v>0</v>
      </c>
      <c r="I112" s="29">
        <f>-('Financial Statements'!J40-'Financial Statements'!I40)</f>
        <v>0</v>
      </c>
      <c r="J112" s="29">
        <f>-('Financial Statements'!K40-'Financial Statements'!J40)</f>
        <v>0</v>
      </c>
      <c r="K112" s="29">
        <f>-('Financial Statements'!L40-'Financial Statements'!K40)</f>
        <v>0</v>
      </c>
      <c r="L112" s="29">
        <f>-('Financial Statements'!M40-'Financial Statements'!L40)</f>
        <v>0</v>
      </c>
      <c r="M112" s="29">
        <f>-('Financial Statements'!N40-'Financial Statements'!M40)</f>
        <v>0</v>
      </c>
      <c r="N112" s="29">
        <f>-('Financial Statements'!O40-'Financial Statements'!N40)</f>
        <v>0</v>
      </c>
      <c r="O112" s="29">
        <f>-('Financial Statements'!P40-'Financial Statements'!O40)</f>
        <v>0</v>
      </c>
      <c r="P112" s="29">
        <f>-('Financial Statements'!Q40-'Financial Statements'!P40)</f>
        <v>0</v>
      </c>
      <c r="Q112" s="29">
        <f>-('Financial Statements'!R40-'Financial Statements'!Q40)</f>
        <v>0</v>
      </c>
    </row>
    <row r="113" spans="1:17" ht="12">
      <c r="A113" t="s">
        <v>73</v>
      </c>
      <c r="B113" s="33">
        <f>-('Financial Statements'!C41-'Financial Statements'!B41)</f>
        <v>0</v>
      </c>
      <c r="C113" s="33">
        <f>-('Financial Statements'!D41-'Financial Statements'!C41)</f>
        <v>-16000</v>
      </c>
      <c r="D113" s="33">
        <f>-('Financial Statements'!E41-'Financial Statements'!D41)</f>
        <v>59000</v>
      </c>
      <c r="E113" s="33">
        <f>-('Financial Statements'!F41-'Financial Statements'!E41)</f>
        <v>-4000</v>
      </c>
      <c r="F113" s="29">
        <f>-('Financial Statements'!G41-'Financial Statements'!F41)</f>
        <v>-2515.40579294521</v>
      </c>
      <c r="G113" s="29">
        <f>-('Financial Statements'!H41-'Financial Statements'!G41)</f>
        <v>-2963.0625106370426</v>
      </c>
      <c r="H113" s="29">
        <f>-('Financial Statements'!I41-'Financial Statements'!H41)</f>
        <v>-3426.855159158935</v>
      </c>
      <c r="I113" s="29">
        <f>-('Financial Statements'!J41-'Financial Statements'!I41)</f>
        <v>-3909.5641804531624</v>
      </c>
      <c r="J113" s="29">
        <f>-('Financial Statements'!K41-'Financial Statements'!J41)</f>
        <v>-4414.142783197953</v>
      </c>
      <c r="K113" s="29">
        <f>-('Financial Statements'!L41-'Financial Statements'!K41)</f>
        <v>-4943.746467601304</v>
      </c>
      <c r="L113" s="29">
        <f>-('Financial Statements'!M41-'Financial Statements'!L41)</f>
        <v>-5501.765150720108</v>
      </c>
      <c r="M113" s="29">
        <f>-('Financial Statements'!N41-'Financial Statements'!M41)</f>
        <v>-6091.858341601415</v>
      </c>
      <c r="N113" s="29">
        <f>-('Financial Statements'!O41-'Financial Statements'!N41)</f>
        <v>-6717.993866183737</v>
      </c>
      <c r="O113" s="29">
        <f>-('Financial Statements'!P41-'Financial Statements'!O41)</f>
        <v>-7384.490701511386</v>
      </c>
      <c r="P113" s="29">
        <f>-('Financial Statements'!Q41-'Financial Statements'!P41)</f>
        <v>-8096.066548620292</v>
      </c>
      <c r="Q113" s="29">
        <f>-('Financial Statements'!R41-'Financial Statements'!Q41)</f>
        <v>-8338.948545078922</v>
      </c>
    </row>
    <row r="114" spans="1:17" ht="12">
      <c r="A114" t="s">
        <v>258</v>
      </c>
      <c r="B114" s="33">
        <f>('Financial Statements'!C50-'Financial Statements'!B50)</f>
        <v>52000</v>
      </c>
      <c r="C114" s="33">
        <f>('Financial Statements'!D50-'Financial Statements'!C50)</f>
        <v>48000</v>
      </c>
      <c r="D114" s="33">
        <f>('Financial Statements'!E50-'Financial Statements'!D50)</f>
        <v>2000</v>
      </c>
      <c r="E114" s="33">
        <f>('Financial Statements'!F50-'Financial Statements'!E50)</f>
        <v>1000</v>
      </c>
      <c r="F114" s="29">
        <f>('Financial Statements'!G50-'Financial Statements'!F50)</f>
        <v>6379.1597361628665</v>
      </c>
      <c r="G114" s="29">
        <f>('Financial Statements'!H50-'Financial Statements'!G50)</f>
        <v>7514.433304002974</v>
      </c>
      <c r="H114" s="29">
        <f>('Financial Statements'!I50-'Financial Statements'!H50)</f>
        <v>8690.62817390298</v>
      </c>
      <c r="I114" s="29">
        <f>('Financial Statements'!J50-'Financial Statements'!I50)</f>
        <v>9914.79564682499</v>
      </c>
      <c r="J114" s="29">
        <f>('Financial Statements'!K50-'Financial Statements'!J50)</f>
        <v>11194.425166398403</v>
      </c>
      <c r="K114" s="29">
        <f>('Financial Statements'!L50-'Financial Statements'!K50)</f>
        <v>12537.519194862689</v>
      </c>
      <c r="L114" s="29">
        <f>('Financial Statements'!M50-'Financial Statements'!L50)</f>
        <v>13952.674684033496</v>
      </c>
      <c r="M114" s="29">
        <f>('Financial Statements'!N50-'Financial Statements'!M50)</f>
        <v>15449.172280727886</v>
      </c>
      <c r="N114" s="29">
        <f>('Financial Statements'!O50-'Financial Statements'!N50)</f>
        <v>17037.07453451096</v>
      </c>
      <c r="O114" s="29">
        <f>('Financial Statements'!P50-'Financial Statements'!O50)</f>
        <v>18727.334526805906</v>
      </c>
      <c r="P114" s="29">
        <f>('Financial Statements'!Q50-'Financial Statements'!P50)</f>
        <v>20531.916517447098</v>
      </c>
      <c r="Q114" s="29">
        <f>('Financial Statements'!R50-'Financial Statements'!Q50)</f>
        <v>21147.874012970366</v>
      </c>
    </row>
    <row r="115" spans="1:17" ht="12">
      <c r="A115" s="7" t="s">
        <v>3</v>
      </c>
      <c r="B115" s="33">
        <f>'Financial Statements'!C65</f>
        <v>-39287000</v>
      </c>
      <c r="C115" s="33">
        <f>'Financial Statements'!D65</f>
        <v>-37622000</v>
      </c>
      <c r="D115" s="33">
        <f>'Financial Statements'!E65</f>
        <v>-38863000</v>
      </c>
      <c r="E115" s="33">
        <f>'Financial Statements'!F65</f>
        <v>-39240000</v>
      </c>
      <c r="F115" s="29">
        <f>'Financial Statements'!G65</f>
        <v>0</v>
      </c>
      <c r="G115" s="29">
        <f>'Financial Statements'!H65</f>
        <v>0</v>
      </c>
      <c r="H115" s="29">
        <f>'Financial Statements'!I65</f>
        <v>0</v>
      </c>
      <c r="I115" s="29">
        <f>'Financial Statements'!J65</f>
        <v>0</v>
      </c>
      <c r="J115" s="29">
        <f>'Financial Statements'!K65</f>
        <v>0</v>
      </c>
      <c r="K115" s="29">
        <f>'Financial Statements'!L65</f>
        <v>0</v>
      </c>
      <c r="L115" s="29">
        <f>'Financial Statements'!M65</f>
        <v>0</v>
      </c>
      <c r="M115" s="29">
        <f>'Financial Statements'!N65</f>
        <v>0</v>
      </c>
      <c r="N115" s="29">
        <f>'Financial Statements'!O65</f>
        <v>0</v>
      </c>
      <c r="O115" s="29">
        <f>'Financial Statements'!P65</f>
        <v>0</v>
      </c>
      <c r="P115" s="29">
        <f>'Financial Statements'!Q65</f>
        <v>0</v>
      </c>
      <c r="Q115" s="29">
        <f>'Financial Statements'!R65</f>
        <v>0</v>
      </c>
    </row>
    <row r="116" spans="1:17" ht="12.75" thickBot="1">
      <c r="A116" t="s">
        <v>426</v>
      </c>
      <c r="B116" s="34">
        <f>SUM(B108:B115)</f>
        <v>-2365802.371039808</v>
      </c>
      <c r="C116" s="34">
        <f>SUM(C108:C115)</f>
        <v>2381.1659192815423</v>
      </c>
      <c r="D116" s="34">
        <f>SUM(D108:D115)</f>
        <v>10716728.596748091</v>
      </c>
      <c r="E116" s="34">
        <f>SUM(E108:E115)</f>
        <v>-9898254.237288132</v>
      </c>
      <c r="F116" s="30">
        <f aca="true" t="shared" si="23" ref="F116:Q116">SUM(F108:F115)</f>
        <v>39536436.81639995</v>
      </c>
      <c r="G116" s="30">
        <f t="shared" si="23"/>
        <v>40038310.39225419</v>
      </c>
      <c r="H116" s="30">
        <f t="shared" si="23"/>
        <v>40621330.76868504</v>
      </c>
      <c r="I116" s="30">
        <f t="shared" si="23"/>
        <v>41288705.657205656</v>
      </c>
      <c r="J116" s="30">
        <f t="shared" si="23"/>
        <v>42044156.10909486</v>
      </c>
      <c r="K116" s="30">
        <f t="shared" si="23"/>
        <v>42891950.828688815</v>
      </c>
      <c r="L116" s="30">
        <f t="shared" si="23"/>
        <v>43836946.03619102</v>
      </c>
      <c r="M116" s="30">
        <f t="shared" si="23"/>
        <v>44884631.397119544</v>
      </c>
      <c r="N116" s="30">
        <f t="shared" si="23"/>
        <v>46041182.621385425</v>
      </c>
      <c r="O116" s="30">
        <f t="shared" si="23"/>
        <v>47313521.43096714</v>
      </c>
      <c r="P116" s="30">
        <f t="shared" si="23"/>
        <v>48709383.70296032</v>
      </c>
      <c r="Q116" s="30">
        <f t="shared" si="23"/>
        <v>50170665.214049146</v>
      </c>
    </row>
    <row r="117" ht="12.75" thickTop="1"/>
    <row r="118" spans="1:18" ht="12">
      <c r="A118" s="76" t="s">
        <v>6</v>
      </c>
      <c r="B118" s="38"/>
      <c r="C118" s="38"/>
      <c r="D118" s="38"/>
      <c r="E118" s="38"/>
      <c r="F118" s="38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</row>
    <row r="119" spans="1:18" ht="12">
      <c r="A119" s="174" t="s">
        <v>62</v>
      </c>
      <c r="B119" s="38"/>
      <c r="C119" s="38"/>
      <c r="D119" s="38"/>
      <c r="E119" s="38"/>
      <c r="F119" s="38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</row>
    <row r="120" spans="1:18" ht="12">
      <c r="A120" s="25" t="s">
        <v>386</v>
      </c>
      <c r="B120" s="38">
        <f>(('Financial Statements'!C37-'Financial Statements'!C33-'Financial Statements'!C48+'Financial Statements'!C44)-('Financial Statements'!B37-'Financial Statements'!B33-'Financial Statements'!B48+'Financial Statements'!B44))/('Financial Statements'!B75-'Financial Statements'!B33)</f>
        <v>0.17995340356564019</v>
      </c>
      <c r="C120" s="38">
        <f>(('Financial Statements'!D37-'Financial Statements'!D33-'Financial Statements'!D48+'Financial Statements'!D44)-('Financial Statements'!C37-'Financial Statements'!C33-'Financial Statements'!C48+'Financial Statements'!C44))/('Financial Statements'!C75-'Financial Statements'!C33)</f>
        <v>-0.0018140156578193623</v>
      </c>
      <c r="D120" s="38">
        <f>(('Financial Statements'!E37-'Financial Statements'!E33-'Financial Statements'!E48+'Financial Statements'!E44)-('Financial Statements'!D37-'Financial Statements'!D33-'Financial Statements'!D48+'Financial Statements'!D44))/('Financial Statements'!D75-'Financial Statements'!D33)</f>
        <v>-0.497655663915979</v>
      </c>
      <c r="E120" s="38">
        <f>(('Financial Statements'!F37-'Financial Statements'!F33-'Financial Statements'!F48+'Financial Statements'!F44)-('Financial Statements'!E37-'Financial Statements'!E33-'Financial Statements'!E48+'Financial Statements'!E44))/('Financial Statements'!E75-'Financial Statements'!E33)</f>
        <v>0.14193462662769069</v>
      </c>
      <c r="F120" s="39">
        <f>(('Financial Statements'!G37-'Financial Statements'!G33-'Financial Statements'!G48+'Financial Statements'!G44)-('Financial Statements'!F37-'Financial Statements'!F33-'Financial Statements'!F48+'Financial Statements'!F44))/('Financial Statements'!F75-'Financial Statements'!F33)</f>
        <v>0.0009248349966630075</v>
      </c>
      <c r="G120" s="39">
        <f>(('Financial Statements'!H37-'Financial Statements'!H33-'Financial Statements'!H48+'Financial Statements'!H44)-('Financial Statements'!G37-'Financial Statements'!G33-'Financial Statements'!G48+'Financial Statements'!G44))/('Financial Statements'!G75-'Financial Statements'!G33)</f>
        <v>0.0024760254571229373</v>
      </c>
      <c r="H120" s="39">
        <f>(('Financial Statements'!I37-'Financial Statements'!I33-'Financial Statements'!I48+'Financial Statements'!I44)-('Financial Statements'!H37-'Financial Statements'!H33-'Financial Statements'!H48+'Financial Statements'!H44))/('Financial Statements'!H75-'Financial Statements'!H33)</f>
        <v>0.002826284599362636</v>
      </c>
      <c r="I120" s="39">
        <f>(('Financial Statements'!J37-'Financial Statements'!J33-'Financial Statements'!J48+'Financial Statements'!J44)-('Financial Statements'!I37-'Financial Statements'!I33-'Financial Statements'!I48+'Financial Statements'!I44))/('Financial Statements'!I75-'Financial Statements'!I33)</f>
        <v>0.0031765437416021182</v>
      </c>
      <c r="J120" s="39">
        <f>(('Financial Statements'!K37-'Financial Statements'!K33-'Financial Statements'!K48+'Financial Statements'!K44)-('Financial Statements'!J37-'Financial Statements'!J33-'Financial Statements'!J48+'Financial Statements'!J44))/('Financial Statements'!J75-'Financial Statements'!J33)</f>
        <v>0.003526802883842099</v>
      </c>
      <c r="K120" s="39">
        <f>(('Financial Statements'!L37-'Financial Statements'!L33-'Financial Statements'!L48+'Financial Statements'!L44)-('Financial Statements'!K37-'Financial Statements'!K33-'Financial Statements'!K48+'Financial Statements'!K44))/('Financial Statements'!K75-'Financial Statements'!K33)</f>
        <v>0.003877062026081686</v>
      </c>
      <c r="L120" s="39">
        <f>(('Financial Statements'!M37-'Financial Statements'!M33-'Financial Statements'!M48+'Financial Statements'!M44)-('Financial Statements'!L37-'Financial Statements'!L33-'Financial Statements'!L48+'Financial Statements'!L44))/('Financial Statements'!L75-'Financial Statements'!L33)</f>
        <v>0.004227321168321188</v>
      </c>
      <c r="M120" s="39">
        <f>(('Financial Statements'!N37-'Financial Statements'!N33-'Financial Statements'!N48+'Financial Statements'!N44)-('Financial Statements'!M37-'Financial Statements'!M33-'Financial Statements'!M48+'Financial Statements'!M44))/('Financial Statements'!M75-'Financial Statements'!M33)</f>
        <v>0.004577580310561064</v>
      </c>
      <c r="N120" s="39">
        <f>(('Financial Statements'!O37-'Financial Statements'!O33-'Financial Statements'!O48+'Financial Statements'!O44)-('Financial Statements'!N37-'Financial Statements'!N33-'Financial Statements'!N48+'Financial Statements'!N44))/('Financial Statements'!N75-'Financial Statements'!N33)</f>
        <v>0.0049278394528008435</v>
      </c>
      <c r="O120" s="39">
        <f>(('Financial Statements'!P37-'Financial Statements'!P33-'Financial Statements'!P48+'Financial Statements'!P44)-('Financial Statements'!O37-'Financial Statements'!O33-'Financial Statements'!O48+'Financial Statements'!O44))/('Financial Statements'!O75-'Financial Statements'!O33)</f>
        <v>0.005278098595040353</v>
      </c>
      <c r="P120" s="39">
        <f>(('Financial Statements'!Q37-'Financial Statements'!Q33-'Financial Statements'!Q48+'Financial Statements'!Q44)-('Financial Statements'!P37-'Financial Statements'!P33-'Financial Statements'!P48+'Financial Statements'!P44))/('Financial Statements'!P75-'Financial Statements'!P33)</f>
        <v>0.005628357737280106</v>
      </c>
      <c r="Q120" s="39">
        <f>(('Financial Statements'!R37-'Financial Statements'!R33-'Financial Statements'!R48+'Financial Statements'!R44)-('Financial Statements'!Q37-'Financial Statements'!Q33-'Financial Statements'!Q48+'Financial Statements'!Q44))/('Financial Statements'!Q75-'Financial Statements'!Q33)</f>
        <v>0.005628357737280129</v>
      </c>
      <c r="R120" s="39"/>
    </row>
    <row r="121" spans="1:18" ht="12">
      <c r="A121" s="25" t="s">
        <v>279</v>
      </c>
      <c r="B121" s="38">
        <f>(('Financial Statements'!C42-'Financial Statements'!C37-'Financial Statements'!C52+'Financial Statements'!C49+'Financial Statements'!C48+'Financial Statements'!C53)-('Financial Statements'!B42-'Financial Statements'!B37-'Financial Statements'!B52+'Financial Statements'!B49+'Financial Statements'!B48+'Financial Statements'!B53))/('Financial Statements'!B75-'Financial Statements'!B33)</f>
        <v>-0.008508914100486223</v>
      </c>
      <c r="C121" s="38">
        <f>(('Financial Statements'!D42-'Financial Statements'!D37-'Financial Statements'!D52+'Financial Statements'!D49+'Financial Statements'!D48+'Financial Statements'!D53)-('Financial Statements'!C42-'Financial Statements'!C37-'Financial Statements'!C52+'Financial Statements'!C49+'Financial Statements'!C48+'Financial Statements'!C53))/('Financial Statements'!C75-'Financial Statements'!C33)</f>
        <v>-0.007685697918655719</v>
      </c>
      <c r="D121" s="38">
        <f>(('Financial Statements'!E42-'Financial Statements'!E37-'Financial Statements'!E52+'Financial Statements'!E49+'Financial Statements'!E48+'Financial Statements'!E53)-('Financial Statements'!D42-'Financial Statements'!D37-'Financial Statements'!D52+'Financial Statements'!D49+'Financial Statements'!D48+'Financial Statements'!D53))/('Financial Statements'!D75-'Financial Statements'!D33)</f>
        <v>-0.015988372093023256</v>
      </c>
      <c r="E121" s="38">
        <f>(('Financial Statements'!F42-'Financial Statements'!F37-'Financial Statements'!F52+'Financial Statements'!F49+'Financial Statements'!F48+'Financial Statements'!F53)-('Financial Statements'!E42-'Financial Statements'!E37-'Financial Statements'!E52+'Financial Statements'!E49+'Financial Statements'!E48+'Financial Statements'!E53))/('Financial Statements'!E75-'Financial Statements'!E33)</f>
        <v>-0.0012755779962795642</v>
      </c>
      <c r="F121" s="39">
        <f>(('Financial Statements'!G42-'Financial Statements'!G37-'Financial Statements'!G52+'Financial Statements'!G49+'Financial Statements'!G48+'Financial Statements'!G53)-('Financial Statements'!F42-'Financial Statements'!F37-'Financial Statements'!F52+'Financial Statements'!F49+'Financial Statements'!F48+'Financial Statements'!F53))/('Financial Statements'!F75-'Financial Statements'!F33)</f>
        <v>0.004004675740743991</v>
      </c>
      <c r="G121" s="39">
        <f>(('Financial Statements'!H42-'Financial Statements'!H37-'Financial Statements'!H52+'Financial Statements'!H49+'Financial Statements'!H48+'Financial Statements'!H53)-('Financial Statements'!G42-'Financial Statements'!G37-'Financial Statements'!G52+'Financial Statements'!G49+'Financial Statements'!G48+'Financial Statements'!G53))/('Financial Statements'!G75-'Financial Statements'!G33)</f>
        <v>0.010721565595357647</v>
      </c>
      <c r="H121" s="39">
        <f>(('Financial Statements'!I42-'Financial Statements'!I37-'Financial Statements'!I52+'Financial Statements'!I49+'Financial Statements'!I48+'Financial Statements'!I53)-('Financial Statements'!H42-'Financial Statements'!H37-'Financial Statements'!H52+'Financial Statements'!H49+'Financial Statements'!H48+'Financial Statements'!H53))/('Financial Statements'!H75-'Financial Statements'!H33)</f>
        <v>0.012238240780620238</v>
      </c>
      <c r="I121" s="39">
        <f>(('Financial Statements'!J42-'Financial Statements'!J37-'Financial Statements'!J52+'Financial Statements'!J49+'Financial Statements'!J48+'Financial Statements'!J53)-('Financial Statements'!I42-'Financial Statements'!I37-'Financial Statements'!I52+'Financial Statements'!I49+'Financial Statements'!I48+'Financial Statements'!I53))/('Financial Statements'!I75-'Financial Statements'!I33)</f>
        <v>0.013754915965882691</v>
      </c>
      <c r="J121" s="39">
        <f>(('Financial Statements'!K42-'Financial Statements'!K37-'Financial Statements'!K52+'Financial Statements'!K49+'Financial Statements'!K48+'Financial Statements'!K53)-('Financial Statements'!J42-'Financial Statements'!J37-'Financial Statements'!J52+'Financial Statements'!J49+'Financial Statements'!J48+'Financial Statements'!J53))/('Financial Statements'!J75-'Financial Statements'!J33)</f>
        <v>0.015271591151144792</v>
      </c>
      <c r="K121" s="39">
        <f>(('Financial Statements'!L42-'Financial Statements'!L37-'Financial Statements'!L52+'Financial Statements'!L49+'Financial Statements'!L48+'Financial Statements'!L53)-('Financial Statements'!K42-'Financial Statements'!K37-'Financial Statements'!K52+'Financial Statements'!K49+'Financial Statements'!K48+'Financial Statements'!K53))/('Financial Statements'!K75-'Financial Statements'!K33)</f>
        <v>0.016788266336407544</v>
      </c>
      <c r="L121" s="39">
        <f>(('Financial Statements'!M42-'Financial Statements'!M37-'Financial Statements'!M52+'Financial Statements'!M49+'Financial Statements'!M48+'Financial Statements'!M53)-('Financial Statements'!L42-'Financial Statements'!L37-'Financial Statements'!L52+'Financial Statements'!L49+'Financial Statements'!L48+'Financial Statements'!L53))/('Financial Statements'!L75-'Financial Statements'!L33)</f>
        <v>0.018304941521670153</v>
      </c>
      <c r="M121" s="39">
        <f>(('Financial Statements'!N42-'Financial Statements'!N37-'Financial Statements'!N52+'Financial Statements'!N49+'Financial Statements'!N48+'Financial Statements'!N53)-('Financial Statements'!M42-'Financial Statements'!M37-'Financial Statements'!M52+'Financial Statements'!M49+'Financial Statements'!M48+'Financial Statements'!M53))/('Financial Statements'!M75-'Financial Statements'!M33)</f>
        <v>0.019821616706932166</v>
      </c>
      <c r="N121" s="39">
        <f>(('Financial Statements'!O42-'Financial Statements'!O37-'Financial Statements'!O52+'Financial Statements'!O49+'Financial Statements'!O48+'Financial Statements'!O53)-('Financial Statements'!N42-'Financial Statements'!N37-'Financial Statements'!N52+'Financial Statements'!N49+'Financial Statements'!N48+'Financial Statements'!N53))/('Financial Statements'!N75-'Financial Statements'!N33)</f>
        <v>0.02133829189219516</v>
      </c>
      <c r="O121" s="39">
        <f>(('Financial Statements'!P42-'Financial Statements'!P37-'Financial Statements'!P52+'Financial Statements'!P49+'Financial Statements'!P48+'Financial Statements'!P53)-('Financial Statements'!O42-'Financial Statements'!O37-'Financial Statements'!O52+'Financial Statements'!O49+'Financial Statements'!O48+'Financial Statements'!O53))/('Financial Statements'!O75-'Financial Statements'!O33)</f>
        <v>0.022854967077457784</v>
      </c>
      <c r="P121" s="39">
        <f>(('Financial Statements'!Q42-'Financial Statements'!Q37-'Financial Statements'!Q52+'Financial Statements'!Q49+'Financial Statements'!Q48+'Financial Statements'!Q53)-('Financial Statements'!P42-'Financial Statements'!P37-'Financial Statements'!P52+'Financial Statements'!P49+'Financial Statements'!P48+'Financial Statements'!P53))/('Financial Statements'!P75-'Financial Statements'!P33)</f>
        <v>0.024371642262719775</v>
      </c>
      <c r="Q121" s="39">
        <f>(('Financial Statements'!R42-'Financial Statements'!R37-'Financial Statements'!R52+'Financial Statements'!R49+'Financial Statements'!R48+'Financial Statements'!R53)-('Financial Statements'!Q42-'Financial Statements'!Q37-'Financial Statements'!Q52+'Financial Statements'!Q49+'Financial Statements'!Q48+'Financial Statements'!Q53))/('Financial Statements'!Q75-'Financial Statements'!Q33)</f>
        <v>0.024371642262719703</v>
      </c>
      <c r="R121" s="39"/>
    </row>
    <row r="122" spans="1:18" ht="12">
      <c r="A122" s="25" t="s">
        <v>22</v>
      </c>
      <c r="B122" s="38">
        <f>('Financial Statements'!C75-'Financial Statements'!C33-'Financial Statements'!B75+'Financial Statements'!B33)/('Financial Statements'!B75-'Financial Statements'!B33)</f>
        <v>0.0609805510534846</v>
      </c>
      <c r="C122" s="38">
        <f>('Financial Statements'!D75-'Financial Statements'!D33-'Financial Statements'!C75+'Financial Statements'!C33)/('Financial Statements'!C75-'Financial Statements'!C33)</f>
        <v>0.018140156578193622</v>
      </c>
      <c r="D122" s="38">
        <f>('Financial Statements'!E75-'Financial Statements'!E33-'Financial Statements'!D75+'Financial Statements'!D33)/('Financial Statements'!D75-'Financial Statements'!D33)</f>
        <v>2.5286946736684173</v>
      </c>
      <c r="E122" s="38">
        <f>('Financial Statements'!F75-'Financial Statements'!F33-'Financial Statements'!E75+'Financial Statements'!E33)/('Financial Statements'!E75-'Financial Statements'!E33)</f>
        <v>-0.7100717512622907</v>
      </c>
      <c r="F122" s="39">
        <f>('Financial Statements'!G75-'Financial Statements'!G33-'Financial Statements'!F75+'Financial Statements'!F33)/('Financial Statements'!F75-'Financial Statements'!F33)</f>
        <v>-0.5600109108941238</v>
      </c>
      <c r="G122" s="39">
        <f>('Financial Statements'!H75-'Financial Statements'!H33-'Financial Statements'!G75+'Financial Statements'!G33)/('Financial Statements'!G75-'Financial Statements'!G33)</f>
        <v>0.013197591052480853</v>
      </c>
      <c r="H122" s="39">
        <f>('Financial Statements'!I75-'Financial Statements'!I33-'Financial Statements'!H75+'Financial Statements'!H33)/('Financial Statements'!H75-'Financial Statements'!H33)</f>
        <v>0.015064525379982825</v>
      </c>
      <c r="I122" s="39">
        <f>('Financial Statements'!J75-'Financial Statements'!J33-'Financial Statements'!I75+'Financial Statements'!I33)/('Financial Statements'!I75-'Financial Statements'!I33)</f>
        <v>0.016931459707484973</v>
      </c>
      <c r="J122" s="39">
        <f>('Financial Statements'!K75-'Financial Statements'!K33-'Financial Statements'!J75+'Financial Statements'!J33)/('Financial Statements'!J75-'Financial Statements'!J33)</f>
        <v>0.018798394034986808</v>
      </c>
      <c r="K122" s="39">
        <f>('Financial Statements'!L75-'Financial Statements'!L33-'Financial Statements'!K75+'Financial Statements'!K33)/('Financial Statements'!K75-'Financial Statements'!K33)</f>
        <v>0.020665328362489174</v>
      </c>
      <c r="L122" s="39">
        <f>('Financial Statements'!M75-'Financial Statements'!M33-'Financial Statements'!L75+'Financial Statements'!L33)/('Financial Statements'!L75-'Financial Statements'!L33)</f>
        <v>0.02253226268999142</v>
      </c>
      <c r="M122" s="39">
        <f>('Financial Statements'!N75-'Financial Statements'!N33-'Financial Statements'!M75+'Financial Statements'!M33)/('Financial Statements'!M75-'Financial Statements'!M33)</f>
        <v>0.02439919701749314</v>
      </c>
      <c r="N122" s="39">
        <f>('Financial Statements'!O75-'Financial Statements'!O33-'Financial Statements'!N75+'Financial Statements'!N33)/('Financial Statements'!N75-'Financial Statements'!N33)</f>
        <v>0.026266131344996068</v>
      </c>
      <c r="O122" s="39">
        <f>('Financial Statements'!P75-'Financial Statements'!P33-'Financial Statements'!O75+'Financial Statements'!O33)/('Financial Statements'!O75-'Financial Statements'!O33)</f>
        <v>0.02813306567249801</v>
      </c>
      <c r="P122" s="39">
        <f>('Financial Statements'!Q75-'Financial Statements'!Q33-'Financial Statements'!P75+'Financial Statements'!P33)/('Financial Statements'!P75-'Financial Statements'!P33)</f>
        <v>0.030000000000000023</v>
      </c>
      <c r="Q122" s="39">
        <f>('Financial Statements'!R75-'Financial Statements'!R33-'Financial Statements'!Q75+'Financial Statements'!Q33)/('Financial Statements'!Q75-'Financial Statements'!Q33)</f>
        <v>0.02999999999999999</v>
      </c>
      <c r="R122" s="39"/>
    </row>
    <row r="123" spans="1:18" ht="12">
      <c r="A123" s="25"/>
      <c r="B123" s="38"/>
      <c r="C123" s="38"/>
      <c r="D123" s="38"/>
      <c r="E123" s="38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</row>
    <row r="124" spans="1:18" ht="12">
      <c r="A124" s="25" t="s">
        <v>388</v>
      </c>
      <c r="B124" s="38">
        <f>'Ratio Analysis'!C10</f>
        <v>0.025531914893617058</v>
      </c>
      <c r="C124" s="38">
        <f>'Ratio Analysis'!D10</f>
        <v>-0.012966804979253066</v>
      </c>
      <c r="D124" s="38">
        <f>'Ratio Analysis'!E10</f>
        <v>-0.0005254860746189971</v>
      </c>
      <c r="E124" s="38">
        <f>'Ratio Analysis'!F10</f>
        <v>0.009463722397476282</v>
      </c>
      <c r="F124" s="39">
        <f>'Ratio Analysis'!G10</f>
        <v>0.01133065672497846</v>
      </c>
      <c r="G124" s="39">
        <f>'Ratio Analysis'!H10</f>
        <v>0.01319759105248064</v>
      </c>
      <c r="H124" s="39">
        <f>'Ratio Analysis'!I10</f>
        <v>0.015064525379982818</v>
      </c>
      <c r="I124" s="39">
        <f>'Ratio Analysis'!J10</f>
        <v>0.016931459707484997</v>
      </c>
      <c r="J124" s="39">
        <f>'Ratio Analysis'!K10</f>
        <v>0.018798394034986954</v>
      </c>
      <c r="K124" s="39">
        <f>'Ratio Analysis'!L10</f>
        <v>0.020665328362489133</v>
      </c>
      <c r="L124" s="39">
        <f>'Ratio Analysis'!M10</f>
        <v>0.02253226268999131</v>
      </c>
      <c r="M124" s="39">
        <f>'Ratio Analysis'!N10</f>
        <v>0.02439919701749349</v>
      </c>
      <c r="N124" s="39">
        <f>'Ratio Analysis'!O10</f>
        <v>0.02626613134499567</v>
      </c>
      <c r="O124" s="39">
        <f>'Ratio Analysis'!P10</f>
        <v>0.028133065672497848</v>
      </c>
      <c r="P124" s="39">
        <f>'Ratio Analysis'!Q10</f>
        <v>0.030000000000000027</v>
      </c>
      <c r="Q124" s="39">
        <f>'Ratio Analysis'!R10</f>
        <v>0.030000000000000027</v>
      </c>
      <c r="R124" s="39"/>
    </row>
    <row r="125" spans="1:18" ht="12">
      <c r="A125" s="25" t="s">
        <v>278</v>
      </c>
      <c r="B125" s="38">
        <f>-(('Financial Statements'!C12/('Financial Statements'!C57+'Financial Statements'!C54+'Financial Statements'!C49+'Financial Statements'!C44+'Financial Statements'!C53-'Financial Statements'!C33))-('Financial Statements'!B12/('Financial Statements'!B57+'Financial Statements'!B54+'Financial Statements'!B49+'Financial Statements'!B44+'Financial Statements'!B53-'Financial Statements'!B33)))/('Financial Statements'!C12/('Financial Statements'!C57+'Financial Statements'!C54+'Financial Statements'!C49+'Financial Statements'!C44+'Financial Statements'!C53-'Financial Statements'!C33))</f>
        <v>0.03456609750028583</v>
      </c>
      <c r="C125" s="38">
        <f>-(('Financial Statements'!D12/('Financial Statements'!D57+'Financial Statements'!D54+'Financial Statements'!D49+'Financial Statements'!D44+'Financial Statements'!D53-'Financial Statements'!D33))-('Financial Statements'!C12/('Financial Statements'!C57+'Financial Statements'!C54+'Financial Statements'!C49+'Financial Statements'!C44+'Financial Statements'!C53-'Financial Statements'!C33)))/('Financial Statements'!D12/('Financial Statements'!D57+'Financial Statements'!D54+'Financial Statements'!D49+'Financial Statements'!D44+'Financial Statements'!D53-'Financial Statements'!D33))</f>
        <v>0.03151561843550044</v>
      </c>
      <c r="D125" s="38">
        <f>-(('Financial Statements'!E12/('Financial Statements'!E57+'Financial Statements'!E54+'Financial Statements'!E49+'Financial Statements'!E44+'Financial Statements'!E53-'Financial Statements'!E33))-('Financial Statements'!D12/('Financial Statements'!D57+'Financial Statements'!D54+'Financial Statements'!D49+'Financial Statements'!D44+'Financial Statements'!D53-'Financial Statements'!D33)))/('Financial Statements'!E12/('Financial Statements'!E57+'Financial Statements'!E54+'Financial Statements'!E49+'Financial Statements'!E44+'Financial Statements'!E53-'Financial Statements'!E33))</f>
        <v>2.530549928491587</v>
      </c>
      <c r="E125" s="38">
        <f>-(('Financial Statements'!F12/('Financial Statements'!F57+'Financial Statements'!F54+'Financial Statements'!F49+'Financial Statements'!F44+'Financial Statements'!F53-'Financial Statements'!F33))-('Financial Statements'!E12/('Financial Statements'!E57+'Financial Statements'!E54+'Financial Statements'!E49+'Financial Statements'!E44+'Financial Statements'!E53-'Financial Statements'!E33)))/('Financial Statements'!F12/('Financial Statements'!F57+'Financial Statements'!F54+'Financial Statements'!F49+'Financial Statements'!F44+'Financial Statements'!F53-'Financial Statements'!F33))</f>
        <v>-0.7127898285942068</v>
      </c>
      <c r="F125" s="39">
        <f>-(('Financial Statements'!G12/('Financial Statements'!G57+'Financial Statements'!G54+'Financial Statements'!G49+'Financial Statements'!G44+'Financial Statements'!G53-'Financial Statements'!G33))-('Financial Statements'!F12/('Financial Statements'!F57+'Financial Statements'!F54+'Financial Statements'!F49+'Financial Statements'!F44+'Financial Statements'!F53-'Financial Statements'!F33)))/('Financial Statements'!G12/('Financial Statements'!G57+'Financial Statements'!G54+'Financial Statements'!G49+'Financial Statements'!G44+'Financial Statements'!G53-'Financial Statements'!G33))</f>
        <v>-0.5649404216315307</v>
      </c>
      <c r="G125" s="39">
        <f>-(('Financial Statements'!H12/('Financial Statements'!H57+'Financial Statements'!H54+'Financial Statements'!H49+'Financial Statements'!H44+'Financial Statements'!H53-'Financial Statements'!H33))-('Financial Statements'!G12/('Financial Statements'!G57+'Financial Statements'!G54+'Financial Statements'!G49+'Financial Statements'!G44+'Financial Statements'!G53-'Financial Statements'!G33)))/('Financial Statements'!H12/('Financial Statements'!H57+'Financial Statements'!H54+'Financial Statements'!H49+'Financial Statements'!H44+'Financial Statements'!H53-'Financial Statements'!H33))</f>
        <v>0</v>
      </c>
      <c r="H125" s="39">
        <f>-(('Financial Statements'!I12/('Financial Statements'!I57+'Financial Statements'!I54+'Financial Statements'!I49+'Financial Statements'!I44+'Financial Statements'!I53-'Financial Statements'!I33))-('Financial Statements'!H12/('Financial Statements'!H57+'Financial Statements'!H54+'Financial Statements'!H49+'Financial Statements'!H44+'Financial Statements'!H53-'Financial Statements'!H33)))/('Financial Statements'!I12/('Financial Statements'!I57+'Financial Statements'!I54+'Financial Statements'!I49+'Financial Statements'!I44+'Financial Statements'!I53-'Financial Statements'!I33))</f>
        <v>0</v>
      </c>
      <c r="I125" s="39">
        <f>-(('Financial Statements'!J12/('Financial Statements'!J57+'Financial Statements'!J54+'Financial Statements'!J49+'Financial Statements'!J44+'Financial Statements'!J53-'Financial Statements'!J33))-('Financial Statements'!I12/('Financial Statements'!I57+'Financial Statements'!I54+'Financial Statements'!I49+'Financial Statements'!I44+'Financial Statements'!I53-'Financial Statements'!I33)))/('Financial Statements'!J12/('Financial Statements'!J57+'Financial Statements'!J54+'Financial Statements'!J49+'Financial Statements'!J44+'Financial Statements'!J53-'Financial Statements'!J33))</f>
        <v>0</v>
      </c>
      <c r="J125" s="39">
        <f>-(('Financial Statements'!K12/('Financial Statements'!K57+'Financial Statements'!K54+'Financial Statements'!K49+'Financial Statements'!K44+'Financial Statements'!K53-'Financial Statements'!K33))-('Financial Statements'!J12/('Financial Statements'!J57+'Financial Statements'!J54+'Financial Statements'!J49+'Financial Statements'!J44+'Financial Statements'!J53-'Financial Statements'!J33)))/('Financial Statements'!K12/('Financial Statements'!K57+'Financial Statements'!K54+'Financial Statements'!K49+'Financial Statements'!K44+'Financial Statements'!K53-'Financial Statements'!K33))</f>
        <v>0</v>
      </c>
      <c r="K125" s="39">
        <f>-(('Financial Statements'!L12/('Financial Statements'!L57+'Financial Statements'!L54+'Financial Statements'!L49+'Financial Statements'!L44+'Financial Statements'!L53-'Financial Statements'!L33))-('Financial Statements'!K12/('Financial Statements'!K57+'Financial Statements'!K54+'Financial Statements'!K49+'Financial Statements'!K44+'Financial Statements'!K53-'Financial Statements'!K33)))/('Financial Statements'!L12/('Financial Statements'!L57+'Financial Statements'!L54+'Financial Statements'!L49+'Financial Statements'!L44+'Financial Statements'!L53-'Financial Statements'!L33))</f>
        <v>2.195697327659711E-16</v>
      </c>
      <c r="L125" s="39">
        <f>-(('Financial Statements'!M12/('Financial Statements'!M57+'Financial Statements'!M54+'Financial Statements'!M49+'Financial Statements'!M44+'Financial Statements'!M53-'Financial Statements'!M33))-('Financial Statements'!L12/('Financial Statements'!L57+'Financial Statements'!L54+'Financial Statements'!L49+'Financial Statements'!L44+'Financial Statements'!L53-'Financial Statements'!L33)))/('Financial Statements'!M12/('Financial Statements'!M57+'Financial Statements'!M54+'Financial Statements'!M49+'Financial Statements'!M44+'Financial Statements'!M53-'Financial Statements'!M33))</f>
        <v>0</v>
      </c>
      <c r="M125" s="39">
        <f>-(('Financial Statements'!N12/('Financial Statements'!N57+'Financial Statements'!N54+'Financial Statements'!N49+'Financial Statements'!N44+'Financial Statements'!N53-'Financial Statements'!N33))-('Financial Statements'!M12/('Financial Statements'!M57+'Financial Statements'!M54+'Financial Statements'!M49+'Financial Statements'!M44+'Financial Statements'!M53-'Financial Statements'!M33)))/('Financial Statements'!N12/('Financial Statements'!N57+'Financial Statements'!N54+'Financial Statements'!N49+'Financial Statements'!N44+'Financial Statements'!N53-'Financial Statements'!N33))</f>
        <v>-4.39139465531942E-16</v>
      </c>
      <c r="N125" s="39">
        <f>-(('Financial Statements'!O12/('Financial Statements'!O57+'Financial Statements'!O54+'Financial Statements'!O49+'Financial Statements'!O44+'Financial Statements'!O53-'Financial Statements'!O33))-('Financial Statements'!N12/('Financial Statements'!N57+'Financial Statements'!N54+'Financial Statements'!N49+'Financial Statements'!N44+'Financial Statements'!N53-'Financial Statements'!N33)))/('Financial Statements'!O12/('Financial Statements'!O57+'Financial Statements'!O54+'Financial Statements'!O49+'Financial Statements'!O44+'Financial Statements'!O53-'Financial Statements'!O33))</f>
        <v>4.391394655319422E-16</v>
      </c>
      <c r="O125" s="39">
        <f>-(('Financial Statements'!P12/('Financial Statements'!P57+'Financial Statements'!P54+'Financial Statements'!P49+'Financial Statements'!P44+'Financial Statements'!P53-'Financial Statements'!P33))-('Financial Statements'!O12/('Financial Statements'!O57+'Financial Statements'!O54+'Financial Statements'!O49+'Financial Statements'!O44+'Financial Statements'!O53-'Financial Statements'!O33)))/('Financial Statements'!P12/('Financial Statements'!P57+'Financial Statements'!P54+'Financial Statements'!P49+'Financial Statements'!P44+'Financial Statements'!P53-'Financial Statements'!P33))</f>
        <v>2.1956973276597114E-16</v>
      </c>
      <c r="P125" s="39">
        <f>-(('Financial Statements'!Q12/('Financial Statements'!Q57+'Financial Statements'!Q54+'Financial Statements'!Q49+'Financial Statements'!Q44+'Financial Statements'!Q53-'Financial Statements'!Q33))-('Financial Statements'!P12/('Financial Statements'!P57+'Financial Statements'!P54+'Financial Statements'!P49+'Financial Statements'!P44+'Financial Statements'!P53-'Financial Statements'!P33)))/('Financial Statements'!Q12/('Financial Statements'!Q57+'Financial Statements'!Q54+'Financial Statements'!Q49+'Financial Statements'!Q44+'Financial Statements'!Q53-'Financial Statements'!Q33))</f>
        <v>-2.195697327659711E-16</v>
      </c>
      <c r="Q125" s="39">
        <f>-(('Financial Statements'!R12/('Financial Statements'!R57+'Financial Statements'!R54+'Financial Statements'!R49+'Financial Statements'!R44+'Financial Statements'!R53-'Financial Statements'!R33))-('Financial Statements'!Q12/('Financial Statements'!Q57+'Financial Statements'!Q54+'Financial Statements'!Q49+'Financial Statements'!Q44+'Financial Statements'!Q53-'Financial Statements'!Q33)))/('Financial Statements'!R12/('Financial Statements'!R57+'Financial Statements'!R54+'Financial Statements'!R49+'Financial Statements'!R44+'Financial Statements'!R53-'Financial Statements'!R33))</f>
        <v>-2.1956973276597105E-16</v>
      </c>
      <c r="R125" s="39"/>
    </row>
    <row r="126" spans="1:18" ht="12">
      <c r="A126" s="25" t="s">
        <v>387</v>
      </c>
      <c r="B126" s="38">
        <f>B124*B125</f>
        <v>0.0008825386595817671</v>
      </c>
      <c r="C126" s="38">
        <f aca="true" t="shared" si="24" ref="C126:Q126">C124*C125</f>
        <v>-0.00040865687805368686</v>
      </c>
      <c r="D126" s="38">
        <f t="shared" si="24"/>
        <v>-0.0013297687485504279</v>
      </c>
      <c r="E126" s="38">
        <f t="shared" si="24"/>
        <v>-0.006745645065560275</v>
      </c>
      <c r="F126" s="39">
        <f t="shared" si="24"/>
        <v>-0.00640114598757147</v>
      </c>
      <c r="G126" s="39">
        <f t="shared" si="24"/>
        <v>0</v>
      </c>
      <c r="H126" s="39">
        <f t="shared" si="24"/>
        <v>0</v>
      </c>
      <c r="I126" s="39">
        <f t="shared" si="24"/>
        <v>0</v>
      </c>
      <c r="J126" s="39">
        <f t="shared" si="24"/>
        <v>0</v>
      </c>
      <c r="K126" s="39">
        <f t="shared" si="24"/>
        <v>4.537480626072782E-18</v>
      </c>
      <c r="L126" s="39">
        <f t="shared" si="24"/>
        <v>0</v>
      </c>
      <c r="M126" s="39">
        <f t="shared" si="24"/>
        <v>-1.0714650337670644E-17</v>
      </c>
      <c r="N126" s="39">
        <f t="shared" si="24"/>
        <v>1.1534494880433191E-17</v>
      </c>
      <c r="O126" s="39">
        <f t="shared" si="24"/>
        <v>6.1771697115978685E-18</v>
      </c>
      <c r="P126" s="39">
        <f t="shared" si="24"/>
        <v>-6.587091982979139E-18</v>
      </c>
      <c r="Q126" s="39">
        <f t="shared" si="24"/>
        <v>-6.5870919829791375E-18</v>
      </c>
      <c r="R126" s="39"/>
    </row>
    <row r="127" spans="1:18" ht="12">
      <c r="A127" s="25" t="s">
        <v>22</v>
      </c>
      <c r="B127" s="38">
        <f>B124+B125+B126</f>
        <v>0.060980551053484655</v>
      </c>
      <c r="C127" s="38">
        <f aca="true" t="shared" si="25" ref="C127:Q127">C124+C125+C126</f>
        <v>0.018140156578193692</v>
      </c>
      <c r="D127" s="38">
        <f t="shared" si="25"/>
        <v>2.5286946736684177</v>
      </c>
      <c r="E127" s="38">
        <f t="shared" si="25"/>
        <v>-0.7100717512622908</v>
      </c>
      <c r="F127" s="39">
        <f t="shared" si="25"/>
        <v>-0.5600109108941237</v>
      </c>
      <c r="G127" s="39">
        <f t="shared" si="25"/>
        <v>0.01319759105248064</v>
      </c>
      <c r="H127" s="39">
        <f t="shared" si="25"/>
        <v>0.015064525379982818</v>
      </c>
      <c r="I127" s="39">
        <f t="shared" si="25"/>
        <v>0.016931459707484997</v>
      </c>
      <c r="J127" s="39">
        <f t="shared" si="25"/>
        <v>0.018798394034986954</v>
      </c>
      <c r="K127" s="39">
        <f t="shared" si="25"/>
        <v>0.020665328362489355</v>
      </c>
      <c r="L127" s="39">
        <f t="shared" si="25"/>
        <v>0.02253226268999131</v>
      </c>
      <c r="M127" s="39">
        <f t="shared" si="25"/>
        <v>0.02439919701749304</v>
      </c>
      <c r="N127" s="39">
        <f t="shared" si="25"/>
        <v>0.02626613134499612</v>
      </c>
      <c r="O127" s="39">
        <f t="shared" si="25"/>
        <v>0.028133065672498073</v>
      </c>
      <c r="P127" s="39">
        <f t="shared" si="25"/>
        <v>0.0299999999999998</v>
      </c>
      <c r="Q127" s="39">
        <f t="shared" si="25"/>
        <v>0.0299999999999998</v>
      </c>
      <c r="R127" s="39"/>
    </row>
    <row r="128" spans="1:17" s="223" customFormat="1" ht="12">
      <c r="A128" s="221" t="s">
        <v>91</v>
      </c>
      <c r="B128" s="222">
        <f>IF(MONTH(B7)&gt;6,YEAR(B7),YEAR(B7)-1)</f>
        <v>2012</v>
      </c>
      <c r="C128" s="222">
        <f>IF(MONTH(C7)&gt;6,YEAR(C7),YEAR(C7)-1)</f>
        <v>2013</v>
      </c>
      <c r="D128" s="222">
        <f>IF(MONTH(D7)&gt;6,YEAR(D7),YEAR(D7)-1)</f>
        <v>2014</v>
      </c>
      <c r="E128" s="222">
        <f>IF(MONTH(E7)&gt;6,YEAR(E7),YEAR(E7)-1)</f>
        <v>2015</v>
      </c>
      <c r="F128" s="223">
        <f>IF(MONTH(F7)&gt;6,YEAR(F7),YEAR(F7)-1)</f>
        <v>2016</v>
      </c>
      <c r="G128" s="223">
        <f aca="true" t="shared" si="26" ref="G128:Q128">IF(MONTH(G7)&gt;6,YEAR(G7),YEAR(G7)-1)</f>
        <v>2017</v>
      </c>
      <c r="H128" s="223">
        <f t="shared" si="26"/>
        <v>2018</v>
      </c>
      <c r="I128" s="223">
        <f t="shared" si="26"/>
        <v>2019</v>
      </c>
      <c r="J128" s="223">
        <f t="shared" si="26"/>
        <v>2020</v>
      </c>
      <c r="K128" s="223">
        <f t="shared" si="26"/>
        <v>2021</v>
      </c>
      <c r="L128" s="223">
        <f t="shared" si="26"/>
        <v>2022</v>
      </c>
      <c r="M128" s="223">
        <f t="shared" si="26"/>
        <v>2023</v>
      </c>
      <c r="N128" s="223">
        <f t="shared" si="26"/>
        <v>2024</v>
      </c>
      <c r="O128" s="223">
        <f t="shared" si="26"/>
        <v>2025</v>
      </c>
      <c r="P128" s="223">
        <f t="shared" si="26"/>
        <v>2026</v>
      </c>
      <c r="Q128" s="223">
        <f t="shared" si="26"/>
        <v>2027</v>
      </c>
    </row>
    <row r="130" spans="2:3" ht="12">
      <c r="B130" s="4"/>
      <c r="C130" s="24"/>
    </row>
  </sheetData>
  <sheetProtection/>
  <mergeCells count="2">
    <mergeCell ref="A48:B48"/>
    <mergeCell ref="A72:B72"/>
  </mergeCells>
  <conditionalFormatting sqref="B123:R123">
    <cfRule type="cellIs" priority="1" dxfId="1" operator="greaterThan" stopIfTrue="1">
      <formula>0.09</formula>
    </cfRule>
  </conditionalFormatting>
  <conditionalFormatting sqref="B120:R120">
    <cfRule type="cellIs" priority="2" dxfId="1" operator="greaterThan" stopIfTrue="1">
      <formula>0.11</formula>
    </cfRule>
  </conditionalFormatting>
  <conditionalFormatting sqref="B121:R121">
    <cfRule type="cellIs" priority="3" dxfId="1" operator="greaterThan" stopIfTrue="1">
      <formula>0.14</formula>
    </cfRule>
  </conditionalFormatting>
  <conditionalFormatting sqref="B122:R122 B127:R127">
    <cfRule type="cellIs" priority="4" dxfId="1" operator="greaterThan" stopIfTrue="1">
      <formula>0.38</formula>
    </cfRule>
  </conditionalFormatting>
  <conditionalFormatting sqref="B124:R124">
    <cfRule type="cellIs" priority="5" dxfId="1" operator="greaterThan" stopIfTrue="1">
      <formula>0.39</formula>
    </cfRule>
  </conditionalFormatting>
  <conditionalFormatting sqref="R125">
    <cfRule type="cellIs" priority="6" dxfId="1" operator="greaterThan" stopIfTrue="1">
      <formula>0.2</formula>
    </cfRule>
  </conditionalFormatting>
  <conditionalFormatting sqref="F126:R126">
    <cfRule type="cellIs" priority="7" dxfId="1" operator="greaterThan" stopIfTrue="1">
      <formula>0.07</formula>
    </cfRule>
  </conditionalFormatting>
  <conditionalFormatting sqref="B125">
    <cfRule type="cellIs" priority="8" dxfId="1" operator="greaterThan" stopIfTrue="1">
      <formula>0.21</formula>
    </cfRule>
  </conditionalFormatting>
  <conditionalFormatting sqref="C125:Q125">
    <cfRule type="cellIs" priority="9" dxfId="0" operator="greaterThan" stopIfTrue="1">
      <formula>0.21</formula>
    </cfRule>
  </conditionalFormatting>
  <printOptions/>
  <pageMargins left="0.75" right="0.75" top="1" bottom="1" header="0.5" footer="0.5"/>
  <pageSetup fitToHeight="1" fitToWidth="1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="125" zoomScaleNormal="125" workbookViewId="0" topLeftCell="A1">
      <pane xSplit="1" ySplit="7" topLeftCell="B72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A76" sqref="A76"/>
    </sheetView>
  </sheetViews>
  <sheetFormatPr defaultColWidth="8.8515625" defaultRowHeight="12.75"/>
  <cols>
    <col min="1" max="1" width="29.421875" style="0" customWidth="1"/>
    <col min="2" max="18" width="10.7109375" style="0" customWidth="1"/>
  </cols>
  <sheetData>
    <row r="1" spans="1:18" s="59" customFormat="1" ht="16.5">
      <c r="A1" s="175" t="s">
        <v>224</v>
      </c>
      <c r="B1" s="176"/>
      <c r="C1" s="176"/>
      <c r="D1" s="176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</row>
    <row r="2" spans="1:18" ht="18" customHeight="1">
      <c r="A2" s="178"/>
      <c r="B2" s="178"/>
      <c r="C2" s="178"/>
      <c r="D2" s="178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3" spans="1:18" ht="12.75" customHeight="1">
      <c r="A3" s="166" t="s">
        <v>169</v>
      </c>
      <c r="B3" s="166"/>
      <c r="C3" s="166"/>
      <c r="D3" s="166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</row>
    <row r="4" spans="1:12" ht="12">
      <c r="A4" s="1" t="s">
        <v>310</v>
      </c>
      <c r="B4" s="13" t="str">
        <f>'Financial Statements'!B4</f>
        <v>KOHL'S  </v>
      </c>
      <c r="C4" s="1"/>
      <c r="D4" s="1"/>
      <c r="E4" s="3"/>
      <c r="L4" s="57"/>
    </row>
    <row r="5" spans="1:12" ht="12">
      <c r="A5" s="1"/>
      <c r="B5" s="1"/>
      <c r="C5" s="1"/>
      <c r="D5" s="1"/>
      <c r="L5" s="57"/>
    </row>
    <row r="6" spans="1:18" ht="12">
      <c r="A6" s="1"/>
      <c r="B6" s="15" t="s">
        <v>411</v>
      </c>
      <c r="C6" s="15" t="s">
        <v>411</v>
      </c>
      <c r="D6" s="15" t="s">
        <v>411</v>
      </c>
      <c r="E6" s="15" t="s">
        <v>411</v>
      </c>
      <c r="F6" s="15" t="s">
        <v>411</v>
      </c>
      <c r="G6" s="2" t="s">
        <v>412</v>
      </c>
      <c r="H6" s="2" t="s">
        <v>412</v>
      </c>
      <c r="I6" s="2" t="s">
        <v>412</v>
      </c>
      <c r="J6" s="2" t="s">
        <v>412</v>
      </c>
      <c r="K6" s="2" t="s">
        <v>412</v>
      </c>
      <c r="L6" s="2" t="s">
        <v>412</v>
      </c>
      <c r="M6" s="2" t="s">
        <v>412</v>
      </c>
      <c r="N6" s="2" t="s">
        <v>412</v>
      </c>
      <c r="O6" s="2" t="s">
        <v>412</v>
      </c>
      <c r="P6" s="2" t="s">
        <v>412</v>
      </c>
      <c r="Q6" s="2" t="s">
        <v>412</v>
      </c>
      <c r="R6" s="2" t="s">
        <v>412</v>
      </c>
    </row>
    <row r="7" spans="1:18" ht="12.75" thickBot="1">
      <c r="A7" s="1" t="s">
        <v>410</v>
      </c>
      <c r="B7" s="254">
        <f>'Financial Statements'!B8</f>
        <v>39447</v>
      </c>
      <c r="C7" s="254">
        <f>'Financial Statements'!C8</f>
        <v>39813</v>
      </c>
      <c r="D7" s="254">
        <f>'Financial Statements'!D8</f>
        <v>40178</v>
      </c>
      <c r="E7" s="254">
        <f>'Financial Statements'!E8</f>
        <v>40543</v>
      </c>
      <c r="F7" s="254">
        <f>'Financial Statements'!F8</f>
        <v>40908</v>
      </c>
      <c r="G7" s="255">
        <f>'Financial Statements'!G8</f>
        <v>41274</v>
      </c>
      <c r="H7" s="255">
        <f>'Financial Statements'!H8</f>
        <v>41639</v>
      </c>
      <c r="I7" s="255">
        <f>'Financial Statements'!I8</f>
        <v>42004</v>
      </c>
      <c r="J7" s="255">
        <f>'Financial Statements'!J8</f>
        <v>42369</v>
      </c>
      <c r="K7" s="255">
        <f>'Financial Statements'!K8</f>
        <v>42735</v>
      </c>
      <c r="L7" s="255">
        <f>'Financial Statements'!L8</f>
        <v>43100</v>
      </c>
      <c r="M7" s="255">
        <f>'Financial Statements'!M8</f>
        <v>43465</v>
      </c>
      <c r="N7" s="255">
        <f>'Financial Statements'!N8</f>
        <v>43830</v>
      </c>
      <c r="O7" s="255">
        <f>'Financial Statements'!O8</f>
        <v>44196</v>
      </c>
      <c r="P7" s="255">
        <f>'Financial Statements'!P8</f>
        <v>44561</v>
      </c>
      <c r="Q7" s="255">
        <f>'Financial Statements'!Q8</f>
        <v>44926</v>
      </c>
      <c r="R7" s="255">
        <f>'Financial Statements'!R8</f>
        <v>45291</v>
      </c>
    </row>
    <row r="9" spans="1:18" ht="12">
      <c r="A9" s="76" t="s">
        <v>365</v>
      </c>
      <c r="B9" s="36"/>
      <c r="C9" s="36"/>
      <c r="D9" s="36"/>
      <c r="E9" s="38"/>
      <c r="F9" s="38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12">
      <c r="A10" s="225" t="s">
        <v>265</v>
      </c>
      <c r="B10" s="36"/>
      <c r="C10" s="36"/>
      <c r="D10" s="36"/>
      <c r="E10" s="38"/>
      <c r="F10" s="38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12">
      <c r="A11" t="s">
        <v>351</v>
      </c>
      <c r="B11" s="38">
        <f>('Financial Statements'!B44+'Financial Statements'!B49)/('Financial Statements'!B57)</f>
        <v>0.2539796529024536</v>
      </c>
      <c r="C11" s="38">
        <f>('Financial Statements'!C44+'Financial Statements'!C49)/('Financial Statements'!C57)</f>
        <v>0.2690490253987005</v>
      </c>
      <c r="D11" s="38">
        <f>('Financial Statements'!D44+'Financial Statements'!D49)/('Financial Statements'!D57)</f>
        <v>0.27861238532110094</v>
      </c>
      <c r="E11" s="38">
        <f>('Financial Statements'!E44+'Financial Statements'!E49)/('Financial Statements'!E57)</f>
        <v>0.06619385342789598</v>
      </c>
      <c r="F11" s="38">
        <f>('Financial Statements'!F44+'Financial Statements'!F49)/('Financial Statements'!F57)</f>
        <v>0.2641414141414141</v>
      </c>
      <c r="G11" s="39">
        <f>('Financial Statements'!G44+'Financial Statements'!G49)/('Financial Statements'!G57)</f>
        <v>0.8569087930092844</v>
      </c>
      <c r="H11" s="39">
        <f>('Financial Statements'!H44+'Financial Statements'!H49)/('Financial Statements'!H57)</f>
        <v>0.8569087930092845</v>
      </c>
      <c r="I11" s="39">
        <f>('Financial Statements'!I44+'Financial Statements'!I49)/('Financial Statements'!I57)</f>
        <v>0.8569087930092847</v>
      </c>
      <c r="J11" s="39">
        <f>('Financial Statements'!J44+'Financial Statements'!J49)/('Financial Statements'!J57)</f>
        <v>0.8569087930092845</v>
      </c>
      <c r="K11" s="39">
        <f>('Financial Statements'!K44+'Financial Statements'!K49)/('Financial Statements'!K57)</f>
        <v>0.8569087930092846</v>
      </c>
      <c r="L11" s="39">
        <f>('Financial Statements'!L44+'Financial Statements'!L49)/('Financial Statements'!L57)</f>
        <v>0.8569087930092845</v>
      </c>
      <c r="M11" s="39">
        <f>('Financial Statements'!M44+'Financial Statements'!M49)/('Financial Statements'!M57)</f>
        <v>0.8569087930092845</v>
      </c>
      <c r="N11" s="39">
        <f>('Financial Statements'!N44+'Financial Statements'!N49)/('Financial Statements'!N57)</f>
        <v>0.8569087930092848</v>
      </c>
      <c r="O11" s="39">
        <f>('Financial Statements'!O44+'Financial Statements'!O49)/('Financial Statements'!O57)</f>
        <v>0.8569087930092844</v>
      </c>
      <c r="P11" s="39">
        <f>('Financial Statements'!P44+'Financial Statements'!P49)/('Financial Statements'!P57)</f>
        <v>0.8569087930092841</v>
      </c>
      <c r="Q11" s="39">
        <f>('Financial Statements'!Q44+'Financial Statements'!Q49)/('Financial Statements'!Q57)</f>
        <v>0.8569087930092846</v>
      </c>
      <c r="R11" s="39">
        <f>('Financial Statements'!R44+'Financial Statements'!R49)/('Financial Statements'!R57)</f>
        <v>0.8569087930092844</v>
      </c>
    </row>
    <row r="12" spans="1:18" ht="12">
      <c r="A12" t="s">
        <v>283</v>
      </c>
      <c r="B12" s="38"/>
      <c r="C12" s="38">
        <f>'Cash Flow Analysis'!B17/(('Financial Statements'!C44+'Financial Statements'!C49+'Financial Statements'!B44+'Financial Statements'!B49)/2)</f>
        <v>8.901466075690418</v>
      </c>
      <c r="D12" s="38">
        <f>'Cash Flow Analysis'!C17/(('Financial Statements'!D44+'Financial Statements'!D49+'Financial Statements'!C44+'Financial Statements'!C49)/2)</f>
        <v>7.941576375610793</v>
      </c>
      <c r="E12" s="38">
        <f>'Cash Flow Analysis'!D17/(('Financial Statements'!E44+'Financial Statements'!E49+'Financial Statements'!D44+'Financial Statements'!D49)/2)</f>
        <v>8.00810895103441</v>
      </c>
      <c r="F12" s="38">
        <f>'Cash Flow Analysis'!E17/(('Financial Statements'!F44+'Financial Statements'!F49+'Financial Statements'!E44+'Financial Statements'!E49)/2)</f>
        <v>8.136896588148305</v>
      </c>
      <c r="G12" s="39">
        <f>'Cash Flow Analysis'!F17/(('Financial Statements'!G44+'Financial Statements'!G49+'Financial Statements'!F44+'Financial Statements'!F49)/2)</f>
        <v>8.253431845889423</v>
      </c>
      <c r="H12" s="39">
        <f>'Cash Flow Analysis'!G17/(('Financial Statements'!H44+'Financial Statements'!H49+'Financial Statements'!G44+'Financial Statements'!G49)/2)</f>
        <v>8.261252675096246</v>
      </c>
      <c r="I12" s="39">
        <f>'Cash Flow Analysis'!H17/(('Financial Statements'!I44+'Financial Statements'!I49+'Financial Statements'!H44+'Financial Statements'!H49)/2)</f>
        <v>8.269059012484734</v>
      </c>
      <c r="J12" s="39">
        <f>'Cash Flow Analysis'!I17/(('Financial Statements'!J44+'Financial Statements'!J49+'Financial Statements'!I44+'Financial Statements'!I49)/2)</f>
        <v>8.276850898297123</v>
      </c>
      <c r="K12" s="39">
        <f>'Cash Flow Analysis'!J17/(('Financial Statements'!K44+'Financial Statements'!K49+'Financial Statements'!J44+'Financial Statements'!J49)/2)</f>
        <v>8.284628372626777</v>
      </c>
      <c r="L12" s="39">
        <f>'Cash Flow Analysis'!K17/(('Financial Statements'!L44+'Financial Statements'!L49+'Financial Statements'!K44+'Financial Statements'!K49)/2)</f>
        <v>8.29239147541889</v>
      </c>
      <c r="M12" s="39">
        <f>'Cash Flow Analysis'!L17/(('Financial Statements'!M44+'Financial Statements'!M49+'Financial Statements'!L44+'Financial Statements'!L49)/2)</f>
        <v>8.300140246471184</v>
      </c>
      <c r="N12" s="39">
        <f>'Cash Flow Analysis'!M17/(('Financial Statements'!N44+'Financial Statements'!N49+'Financial Statements'!M44+'Financial Statements'!M49)/2)</f>
        <v>8.307874725434546</v>
      </c>
      <c r="O12" s="39">
        <f>'Cash Flow Analysis'!N17/(('Financial Statements'!O44+'Financial Statements'!O49+'Financial Statements'!N44+'Financial Statements'!N49)/2)</f>
        <v>8.31559495181375</v>
      </c>
      <c r="P12" s="39">
        <f>'Cash Flow Analysis'!O17/(('Financial Statements'!P44+'Financial Statements'!P49+'Financial Statements'!O44+'Financial Statements'!O49)/2)</f>
        <v>8.323300964968107</v>
      </c>
      <c r="Q12" s="39">
        <f>'Cash Flow Analysis'!P17/(('Financial Statements'!Q44+'Financial Statements'!Q49+'Financial Statements'!P44+'Financial Statements'!P49)/2)</f>
        <v>8.330992804112126</v>
      </c>
      <c r="R12" s="39">
        <f>'Cash Flow Analysis'!Q17/(('Financial Statements'!R44+'Financial Statements'!R49+'Financial Statements'!Q44+'Financial Statements'!Q49)/2)</f>
        <v>8.33099280411213</v>
      </c>
    </row>
    <row r="13" spans="1:18" ht="12">
      <c r="A13" t="s">
        <v>284</v>
      </c>
      <c r="B13" s="38"/>
      <c r="C13" s="38">
        <f>'Cash Flow Analysis'!B24/(('Financial Statements'!C44+'Financial Statements'!C49+'Financial Statements'!B44+'Financial Statements'!B49)/2)</f>
        <v>8.09387430389817</v>
      </c>
      <c r="D13" s="38">
        <f>'Cash Flow Analysis'!C24/(('Financial Statements'!D44+'Financial Statements'!D49+'Financial Statements'!C44+'Financial Statements'!C49)/2)</f>
        <v>7.949649458253664</v>
      </c>
      <c r="E13" s="38">
        <f>'Cash Flow Analysis'!D24/(('Financial Statements'!E44+'Financial Statements'!E49+'Financial Statements'!D44+'Financial Statements'!D49)/2)</f>
        <v>10.21499116332259</v>
      </c>
      <c r="F13" s="38">
        <f>'Cash Flow Analysis'!E24/(('Financial Statements'!F44+'Financial Statements'!F49+'Financial Statements'!E44+'Financial Statements'!E49)/2)</f>
        <v>5.8802154853702335</v>
      </c>
      <c r="G13" s="39">
        <f>'Cash Flow Analysis'!F24/(('Financial Statements'!G44+'Financial Statements'!G49+'Financial Statements'!F44+'Financial Statements'!F49)/2)</f>
        <v>8.249168787059231</v>
      </c>
      <c r="H13" s="39">
        <f>'Cash Flow Analysis'!G24/(('Financial Statements'!H44+'Financial Statements'!H49+'Financial Statements'!G44+'Financial Statements'!G49)/2)</f>
        <v>8.256291803551244</v>
      </c>
      <c r="I13" s="39">
        <f>'Cash Flow Analysis'!H24/(('Financial Statements'!I44+'Financial Statements'!I49+'Financial Statements'!H44+'Financial Statements'!H49)/2)</f>
        <v>8.26340162125598</v>
      </c>
      <c r="J13" s="39">
        <f>'Cash Flow Analysis'!I24/(('Financial Statements'!J44+'Financial Statements'!J49+'Financial Statements'!I44+'Financial Statements'!I49)/2)</f>
        <v>8.270498276825075</v>
      </c>
      <c r="K13" s="39">
        <f>'Cash Flow Analysis'!J24/(('Financial Statements'!K44+'Financial Statements'!K49+'Financial Statements'!J44+'Financial Statements'!J49)/2)</f>
        <v>8.277581806774556</v>
      </c>
      <c r="L13" s="39">
        <f>'Cash Flow Analysis'!K24/(('Financial Statements'!L44+'Financial Statements'!L49+'Financial Statements'!K44+'Financial Statements'!K49)/2)</f>
        <v>8.28465224748552</v>
      </c>
      <c r="M13" s="39">
        <f>'Cash Flow Analysis'!L24/(('Financial Statements'!M44+'Financial Statements'!M49+'Financial Statements'!L44+'Financial Statements'!L49)/2)</f>
        <v>8.291709635204732</v>
      </c>
      <c r="N13" s="39">
        <f>'Cash Flow Analysis'!M24/(('Financial Statements'!N44+'Financial Statements'!N49+'Financial Statements'!M44+'Financial Statements'!M49)/2)</f>
        <v>8.298754006045243</v>
      </c>
      <c r="O13" s="39">
        <f>'Cash Flow Analysis'!N24/(('Financial Statements'!O44+'Financial Statements'!O49+'Financial Statements'!N44+'Financial Statements'!N49)/2)</f>
        <v>8.305785395987009</v>
      </c>
      <c r="P13" s="39">
        <f>'Cash Flow Analysis'!O24/(('Financial Statements'!P44+'Financial Statements'!P49+'Financial Statements'!O44+'Financial Statements'!O49)/2)</f>
        <v>8.312803840877516</v>
      </c>
      <c r="Q13" s="39">
        <f>'Cash Flow Analysis'!P24/(('Financial Statements'!Q44+'Financial Statements'!Q49+'Financial Statements'!P44+'Financial Statements'!P49)/2)</f>
        <v>8.319809376432358</v>
      </c>
      <c r="R13" s="39">
        <f>'Cash Flow Analysis'!Q24/(('Financial Statements'!R44+'Financial Statements'!R49+'Financial Statements'!Q44+'Financial Statements'!Q49)/2)</f>
        <v>8.319809376432362</v>
      </c>
    </row>
    <row r="14" spans="2:18" ht="12">
      <c r="B14" s="32"/>
      <c r="C14" s="32"/>
      <c r="D14" s="32"/>
      <c r="E14" s="38"/>
      <c r="F14" s="38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8" ht="12">
      <c r="A15" s="76" t="s">
        <v>365</v>
      </c>
      <c r="B15" s="36"/>
      <c r="C15" s="36"/>
      <c r="D15" s="36"/>
      <c r="E15" s="38"/>
      <c r="F15" s="38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18" ht="12">
      <c r="A16" s="225" t="s">
        <v>366</v>
      </c>
      <c r="B16" s="36"/>
      <c r="C16" s="36"/>
      <c r="D16" s="36"/>
      <c r="E16" s="38"/>
      <c r="F16" s="38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ht="12">
      <c r="A17" s="25" t="s">
        <v>200</v>
      </c>
      <c r="B17" s="38">
        <f>'Financial Statements'!B37/'Financial Statements'!B48</f>
        <v>0.7348279860842675</v>
      </c>
      <c r="C17" s="38">
        <f>'Financial Statements'!C37/'Financial Statements'!C48</f>
        <v>1.8601260835303388</v>
      </c>
      <c r="D17" s="38">
        <f>'Financial Statements'!D37/'Financial Statements'!D48</f>
        <v>1.927816259569814</v>
      </c>
      <c r="E17" s="38">
        <f>'Financial Statements'!E37/'Financial Statements'!E48</f>
        <v>0.4284102872612423</v>
      </c>
      <c r="F17" s="38">
        <f>'Financial Statements'!F37/'Financial Statements'!F48</f>
        <v>1.8689731321310268</v>
      </c>
      <c r="G17" s="24">
        <f>'Financial Statements'!G37/'Financial Statements'!G48</f>
        <v>1.8689731321310268</v>
      </c>
      <c r="H17" s="24">
        <f>'Financial Statements'!H37/'Financial Statements'!H48</f>
        <v>1.8689731321310268</v>
      </c>
      <c r="I17" s="24">
        <f>'Financial Statements'!I37/'Financial Statements'!I48</f>
        <v>1.8689731321310272</v>
      </c>
      <c r="J17" s="24">
        <f>'Financial Statements'!J37/'Financial Statements'!J48</f>
        <v>1.8689731321310266</v>
      </c>
      <c r="K17" s="24">
        <f>'Financial Statements'!K37/'Financial Statements'!K48</f>
        <v>1.868973132131027</v>
      </c>
      <c r="L17" s="24">
        <f>'Financial Statements'!L37/'Financial Statements'!L48</f>
        <v>1.868973132131027</v>
      </c>
      <c r="M17" s="24">
        <f>'Financial Statements'!M37/'Financial Statements'!M48</f>
        <v>1.8689731321310263</v>
      </c>
      <c r="N17" s="24">
        <f>'Financial Statements'!N37/'Financial Statements'!N48</f>
        <v>1.8689731321310266</v>
      </c>
      <c r="O17" s="24">
        <f>'Financial Statements'!O37/'Financial Statements'!O48</f>
        <v>1.8689731321310268</v>
      </c>
      <c r="P17" s="24">
        <f>'Financial Statements'!P37/'Financial Statements'!P48</f>
        <v>1.8689731321310266</v>
      </c>
      <c r="Q17" s="24">
        <f>'Financial Statements'!Q37/'Financial Statements'!Q48</f>
        <v>1.8689731321310268</v>
      </c>
      <c r="R17" s="24">
        <f>'Financial Statements'!R37/'Financial Statements'!R48</f>
        <v>1.8689731321310268</v>
      </c>
    </row>
    <row r="18" spans="1:18" ht="12">
      <c r="A18" s="25" t="s">
        <v>218</v>
      </c>
      <c r="B18" s="38">
        <f>('Financial Statements'!B33+'Financial Statements'!B34)/'Financial Statements'!B48</f>
        <v>0.46772323154232703</v>
      </c>
      <c r="C18" s="38">
        <f>('Financial Statements'!C33+'Financial Statements'!C34)/'Financial Statements'!C48</f>
        <v>0.2115839243498818</v>
      </c>
      <c r="D18" s="38">
        <f>('Financial Statements'!D33+'Financial Statements'!D34)/'Financial Statements'!D48</f>
        <v>0.35399197958439665</v>
      </c>
      <c r="E18" s="38">
        <f>('Financial Statements'!E33+'Financial Statements'!E34)/'Financial Statements'!E48</f>
        <v>0.10791096405474507</v>
      </c>
      <c r="F18" s="38">
        <f>('Financial Statements'!F33+'Financial Statements'!F34)/'Financial Statements'!F48</f>
        <v>0.26978284873021713</v>
      </c>
      <c r="G18" s="24">
        <f>('Financial Statements'!G33+'Financial Statements'!G34)/'Financial Statements'!G48</f>
        <v>0.2697828487302171</v>
      </c>
      <c r="H18" s="24">
        <f>('Financial Statements'!H33+'Financial Statements'!H34)/'Financial Statements'!H48</f>
        <v>0.26978284873021713</v>
      </c>
      <c r="I18" s="24">
        <f>('Financial Statements'!I33+'Financial Statements'!I34)/'Financial Statements'!I48</f>
        <v>0.2697828487302172</v>
      </c>
      <c r="J18" s="24">
        <f>('Financial Statements'!J33+'Financial Statements'!J34)/'Financial Statements'!J48</f>
        <v>0.2697828487302172</v>
      </c>
      <c r="K18" s="24">
        <f>('Financial Statements'!K33+'Financial Statements'!K34)/'Financial Statements'!K48</f>
        <v>0.26978284873021713</v>
      </c>
      <c r="L18" s="24">
        <f>('Financial Statements'!L33+'Financial Statements'!L34)/'Financial Statements'!L48</f>
        <v>0.26978284873021713</v>
      </c>
      <c r="M18" s="24">
        <f>('Financial Statements'!M33+'Financial Statements'!M34)/'Financial Statements'!M48</f>
        <v>0.2697828487302171</v>
      </c>
      <c r="N18" s="24">
        <f>('Financial Statements'!N33+'Financial Statements'!N34)/'Financial Statements'!N48</f>
        <v>0.26978284873021713</v>
      </c>
      <c r="O18" s="24">
        <f>('Financial Statements'!O33+'Financial Statements'!O34)/'Financial Statements'!O48</f>
        <v>0.26978284873021713</v>
      </c>
      <c r="P18" s="24">
        <f>('Financial Statements'!P33+'Financial Statements'!P34)/'Financial Statements'!P48</f>
        <v>0.26978284873021713</v>
      </c>
      <c r="Q18" s="24">
        <f>('Financial Statements'!Q33+'Financial Statements'!Q34)/'Financial Statements'!Q48</f>
        <v>0.2697828487302172</v>
      </c>
      <c r="R18" s="24">
        <f>('Financial Statements'!R33+'Financial Statements'!R34)/'Financial Statements'!R48</f>
        <v>0.26978284873021713</v>
      </c>
    </row>
    <row r="19" spans="1:18" ht="12">
      <c r="A19" s="25" t="s">
        <v>219</v>
      </c>
      <c r="B19" s="38">
        <f>-'Financial Statements'!B19/'Financial Statements'!B20</f>
        <v>-82.6996699669967</v>
      </c>
      <c r="C19" s="38">
        <f>-'Financial Statements'!C19/'Financial Statements'!C20</f>
        <v>-113.99088145896657</v>
      </c>
      <c r="D19" s="38">
        <f>-'Financial Statements'!D19/'Financial Statements'!D20</f>
        <v>-110.08579881656804</v>
      </c>
      <c r="E19" s="38">
        <f>-'Financial Statements'!E19/'Financial Statements'!E20</f>
        <v>-107.9304347826087</v>
      </c>
      <c r="F19" s="38">
        <f>-'Financial Statements'!F19/'Financial Statements'!F20</f>
        <v>-113.80722891566265</v>
      </c>
      <c r="G19" s="39">
        <f>-'Financial Statements'!G19/'Financial Statements'!G20</f>
        <v>-115.04144827123325</v>
      </c>
      <c r="H19" s="39">
        <f>-'Financial Statements'!H19/'Financial Statements'!H20</f>
        <v>-115.14437466419379</v>
      </c>
      <c r="I19" s="39">
        <f>-'Financial Statements'!I19/'Financial Statements'!I20</f>
        <v>-115.24711033689321</v>
      </c>
      <c r="J19" s="39">
        <f>-'Financial Statements'!J19/'Financial Statements'!J20</f>
        <v>-115.34965581894133</v>
      </c>
      <c r="K19" s="39">
        <f>-'Financial Statements'!K19/'Financial Statements'!K20</f>
        <v>-115.45201163798879</v>
      </c>
      <c r="L19" s="39">
        <f>-'Financial Statements'!L19/'Financial Statements'!L20</f>
        <v>-115.55417831973621</v>
      </c>
      <c r="M19" s="39">
        <f>-'Financial Statements'!M19/'Financial Statements'!M20</f>
        <v>-115.65615638794333</v>
      </c>
      <c r="N19" s="39">
        <f>-'Financial Statements'!N19/'Financial Statements'!N20</f>
        <v>-115.7579463644376</v>
      </c>
      <c r="O19" s="39">
        <f>-'Financial Statements'!O19/'Financial Statements'!O20</f>
        <v>-115.85954876912344</v>
      </c>
      <c r="P19" s="39">
        <f>-'Financial Statements'!P19/'Financial Statements'!P20</f>
        <v>-115.9609641199909</v>
      </c>
      <c r="Q19" s="39">
        <f>-'Financial Statements'!Q19/'Financial Statements'!Q20</f>
        <v>-116.06219293312448</v>
      </c>
      <c r="R19" s="39">
        <f>-'Financial Statements'!R19/'Financial Statements'!R20</f>
        <v>-116.06219293312449</v>
      </c>
    </row>
    <row r="20" spans="1:18" ht="12">
      <c r="A20" s="25" t="s">
        <v>254</v>
      </c>
      <c r="B20" s="38">
        <f>-'Financial Statements'!B17/'Financial Statements'!B20</f>
        <v>-80.13201320132013</v>
      </c>
      <c r="C20" s="38">
        <f>-'Financial Statements'!C17/'Financial Statements'!C20</f>
        <v>-111.45896656534954</v>
      </c>
      <c r="D20" s="38">
        <f>-'Financial Statements'!D17/'Financial Statements'!D20</f>
        <v>-107.45562130177515</v>
      </c>
      <c r="E20" s="38">
        <f>-'Financial Statements'!E17/'Financial Statements'!E20</f>
        <v>-105.3623188405797</v>
      </c>
      <c r="F20" s="38">
        <f>-'Financial Statements'!F17/'Financial Statements'!F20</f>
        <v>-110.99397590361446</v>
      </c>
      <c r="G20" s="39">
        <f>-'Financial Statements'!G17/'Financial Statements'!G20</f>
        <v>-112.24765749524644</v>
      </c>
      <c r="H20" s="39">
        <f>-'Financial Statements'!H17/'Financial Statements'!H20</f>
        <v>-112.35058388820698</v>
      </c>
      <c r="I20" s="39">
        <f>-'Financial Statements'!I17/'Financial Statements'!I20</f>
        <v>-112.45331956090644</v>
      </c>
      <c r="J20" s="39">
        <f>-'Financial Statements'!J17/'Financial Statements'!J20</f>
        <v>-112.55586504295454</v>
      </c>
      <c r="K20" s="39">
        <f>-'Financial Statements'!K17/'Financial Statements'!K20</f>
        <v>-112.658220862002</v>
      </c>
      <c r="L20" s="39">
        <f>-'Financial Statements'!L17/'Financial Statements'!L20</f>
        <v>-112.7603875437494</v>
      </c>
      <c r="M20" s="39">
        <f>-'Financial Statements'!M17/'Financial Statements'!M20</f>
        <v>-112.86236561195653</v>
      </c>
      <c r="N20" s="39">
        <f>-'Financial Statements'!N17/'Financial Statements'!N20</f>
        <v>-112.96415558845081</v>
      </c>
      <c r="O20" s="39">
        <f>-'Financial Statements'!O17/'Financial Statements'!O20</f>
        <v>-113.06575799313664</v>
      </c>
      <c r="P20" s="39">
        <f>-'Financial Statements'!P17/'Financial Statements'!P20</f>
        <v>-113.1671733440041</v>
      </c>
      <c r="Q20" s="39">
        <f>-'Financial Statements'!Q17/'Financial Statements'!Q20</f>
        <v>-113.26840215713769</v>
      </c>
      <c r="R20" s="39">
        <f>-'Financial Statements'!R17/'Financial Statements'!R20</f>
        <v>-113.26840215713769</v>
      </c>
    </row>
    <row r="21" spans="1:18" ht="12">
      <c r="A21" s="25"/>
      <c r="B21" s="38"/>
      <c r="C21" s="38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ht="12">
      <c r="A22" s="76" t="s">
        <v>171</v>
      </c>
      <c r="B22" s="38"/>
      <c r="C22" s="38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12">
      <c r="A23" s="25" t="s">
        <v>125</v>
      </c>
      <c r="B23" s="206">
        <f>'Financial Statements'!B25/'Financial Statements'!B42</f>
        <v>2.4866815144766146</v>
      </c>
      <c r="C23" s="206">
        <f>'Financial Statements'!C25/'Financial Statements'!C42</f>
        <v>2.874289823804387</v>
      </c>
      <c r="D23" s="206">
        <f>'Financial Statements'!D25/'Financial Statements'!D42</f>
        <v>2.6567911537659086</v>
      </c>
      <c r="E23" s="206">
        <f>'Financial Statements'!E25/'Financial Statements'!E42</f>
        <v>2.7303775545549014</v>
      </c>
      <c r="F23" s="206">
        <f>'Financial Statements'!F25/'Financial Statements'!F42</f>
        <v>2.9066862601028656</v>
      </c>
      <c r="G23" s="209">
        <f>'Financial Statements'!G25/'Financial Statements'!G42</f>
        <v>2.905163090906799</v>
      </c>
      <c r="H23" s="209">
        <f>'Financial Statements'!H25/'Financial Statements'!H42</f>
        <v>2.905078433868995</v>
      </c>
      <c r="I23" s="209">
        <f>'Financial Statements'!I25/'Financial Statements'!I42</f>
        <v>2.9049940882382503</v>
      </c>
      <c r="J23" s="209">
        <f>'Financial Statements'!J25/'Financial Statements'!J42</f>
        <v>2.9049100522994786</v>
      </c>
      <c r="K23" s="209">
        <f>'Financial Statements'!K25/'Financial Statements'!K42</f>
        <v>2.904826324350154</v>
      </c>
      <c r="L23" s="209">
        <f>'Financial Statements'!L25/'Financial Statements'!L42</f>
        <v>2.9047429027002196</v>
      </c>
      <c r="M23" s="209">
        <f>'Financial Statements'!M25/'Financial Statements'!M42</f>
        <v>2.904659785671953</v>
      </c>
      <c r="N23" s="209">
        <f>'Financial Statements'!N25/'Financial Statements'!N42</f>
        <v>2.904576971599866</v>
      </c>
      <c r="O23" s="209">
        <f>'Financial Statements'!O25/'Financial Statements'!O42</f>
        <v>2.9044944588305865</v>
      </c>
      <c r="P23" s="209">
        <f>'Financial Statements'!P25/'Financial Statements'!P42</f>
        <v>2.9044122457227557</v>
      </c>
      <c r="Q23" s="209">
        <f>'Financial Statements'!Q25/'Financial Statements'!Q42</f>
        <v>2.9043303306469106</v>
      </c>
      <c r="R23" s="209">
        <f>'Financial Statements'!R25/'Financial Statements'!R42</f>
        <v>2.9043303306469115</v>
      </c>
    </row>
    <row r="24" spans="1:18" ht="12">
      <c r="A24" s="25" t="s">
        <v>121</v>
      </c>
      <c r="B24" s="207">
        <f aca="true" t="shared" si="0" ref="B24:R24">IF(B23&lt;$C40,$B41,HLOOKUP(B23,$C40:$K41,2,TRUE))</f>
        <v>0.02</v>
      </c>
      <c r="C24" s="207">
        <f t="shared" si="0"/>
        <v>0.02</v>
      </c>
      <c r="D24" s="207">
        <f t="shared" si="0"/>
        <v>0.02</v>
      </c>
      <c r="E24" s="207">
        <f t="shared" si="0"/>
        <v>0.02</v>
      </c>
      <c r="F24" s="207">
        <f t="shared" si="0"/>
        <v>0.02</v>
      </c>
      <c r="G24" s="234">
        <f t="shared" si="0"/>
        <v>0.02</v>
      </c>
      <c r="H24" s="234">
        <f t="shared" si="0"/>
        <v>0.02</v>
      </c>
      <c r="I24" s="234">
        <f t="shared" si="0"/>
        <v>0.02</v>
      </c>
      <c r="J24" s="234">
        <f t="shared" si="0"/>
        <v>0.02</v>
      </c>
      <c r="K24" s="234">
        <f t="shared" si="0"/>
        <v>0.02</v>
      </c>
      <c r="L24" s="234">
        <f t="shared" si="0"/>
        <v>0.02</v>
      </c>
      <c r="M24" s="234">
        <f t="shared" si="0"/>
        <v>0.02</v>
      </c>
      <c r="N24" s="234">
        <f t="shared" si="0"/>
        <v>0.02</v>
      </c>
      <c r="O24" s="234">
        <f t="shared" si="0"/>
        <v>0.02</v>
      </c>
      <c r="P24" s="234">
        <f t="shared" si="0"/>
        <v>0.02</v>
      </c>
      <c r="Q24" s="234">
        <f t="shared" si="0"/>
        <v>0.02</v>
      </c>
      <c r="R24" s="234">
        <f t="shared" si="0"/>
        <v>0.02</v>
      </c>
    </row>
    <row r="25" spans="1:18" ht="12">
      <c r="A25" s="25" t="s">
        <v>126</v>
      </c>
      <c r="B25" s="206">
        <f>'Financial Statements'!B52/'Financial Statements'!B42</f>
        <v>0.6755456570155902</v>
      </c>
      <c r="C25" s="206">
        <f>'Financial Statements'!C52/'Financial Statements'!C42</f>
        <v>0.5654081265731751</v>
      </c>
      <c r="D25" s="206">
        <f>'Financial Statements'!D52/'Financial Statements'!D42</f>
        <v>0.5845329995131789</v>
      </c>
      <c r="E25" s="206">
        <f>'Financial Statements'!E52/'Financial Statements'!E42</f>
        <v>1.3077935573259438</v>
      </c>
      <c r="F25" s="206">
        <f>'Financial Statements'!F52/'Financial Statements'!F42</f>
        <v>0.596399706098457</v>
      </c>
      <c r="G25" s="209">
        <f>'Financial Statements'!G52/'Financial Statements'!G42</f>
        <v>0.596399706098457</v>
      </c>
      <c r="H25" s="209">
        <f>'Financial Statements'!H52/'Financial Statements'!H42</f>
        <v>0.596399706098457</v>
      </c>
      <c r="I25" s="209">
        <f>'Financial Statements'!I52/'Financial Statements'!I42</f>
        <v>0.596399706098457</v>
      </c>
      <c r="J25" s="209">
        <f>'Financial Statements'!J52/'Financial Statements'!J42</f>
        <v>0.596399706098457</v>
      </c>
      <c r="K25" s="209">
        <f>'Financial Statements'!K52/'Financial Statements'!K42</f>
        <v>0.596399706098457</v>
      </c>
      <c r="L25" s="209">
        <f>'Financial Statements'!L52/'Financial Statements'!L42</f>
        <v>0.5963997060984569</v>
      </c>
      <c r="M25" s="209">
        <f>'Financial Statements'!M52/'Financial Statements'!M42</f>
        <v>0.5963997060984569</v>
      </c>
      <c r="N25" s="209">
        <f>'Financial Statements'!N52/'Financial Statements'!N42</f>
        <v>0.596399706098457</v>
      </c>
      <c r="O25" s="209">
        <f>'Financial Statements'!O52/'Financial Statements'!O42</f>
        <v>0.5963997060984569</v>
      </c>
      <c r="P25" s="209">
        <f>'Financial Statements'!P52/'Financial Statements'!P42</f>
        <v>0.5963997060984569</v>
      </c>
      <c r="Q25" s="209">
        <f>'Financial Statements'!Q52/'Financial Statements'!Q42</f>
        <v>0.596399706098457</v>
      </c>
      <c r="R25" s="209">
        <f>'Financial Statements'!R52/'Financial Statements'!R42</f>
        <v>0.596399706098457</v>
      </c>
    </row>
    <row r="26" spans="1:18" ht="12">
      <c r="A26" s="25" t="s">
        <v>121</v>
      </c>
      <c r="B26" s="207">
        <f aca="true" t="shared" si="1" ref="B26:R26">IF(B25&lt;$C42,$B43,HLOOKUP(B25,$C42:$K43,2,TRUE))</f>
        <v>0.055</v>
      </c>
      <c r="C26" s="207">
        <f t="shared" si="1"/>
        <v>0.045</v>
      </c>
      <c r="D26" s="207">
        <f t="shared" si="1"/>
        <v>0.045</v>
      </c>
      <c r="E26" s="207">
        <f t="shared" si="1"/>
        <v>0.1</v>
      </c>
      <c r="F26" s="207">
        <f t="shared" si="1"/>
        <v>0.045</v>
      </c>
      <c r="G26" s="234">
        <f t="shared" si="1"/>
        <v>0.045</v>
      </c>
      <c r="H26" s="234">
        <f t="shared" si="1"/>
        <v>0.045</v>
      </c>
      <c r="I26" s="234">
        <f t="shared" si="1"/>
        <v>0.045</v>
      </c>
      <c r="J26" s="234">
        <f t="shared" si="1"/>
        <v>0.045</v>
      </c>
      <c r="K26" s="234">
        <f t="shared" si="1"/>
        <v>0.045</v>
      </c>
      <c r="L26" s="234">
        <f t="shared" si="1"/>
        <v>0.045</v>
      </c>
      <c r="M26" s="234">
        <f t="shared" si="1"/>
        <v>0.045</v>
      </c>
      <c r="N26" s="234">
        <f t="shared" si="1"/>
        <v>0.045</v>
      </c>
      <c r="O26" s="234">
        <f t="shared" si="1"/>
        <v>0.045</v>
      </c>
      <c r="P26" s="234">
        <f t="shared" si="1"/>
        <v>0.045</v>
      </c>
      <c r="Q26" s="234">
        <f t="shared" si="1"/>
        <v>0.045</v>
      </c>
      <c r="R26" s="234">
        <f t="shared" si="1"/>
        <v>0.045</v>
      </c>
    </row>
    <row r="27" spans="1:18" ht="12">
      <c r="A27" s="25" t="s">
        <v>218</v>
      </c>
      <c r="B27" s="38">
        <f>B18</f>
        <v>0.46772323154232703</v>
      </c>
      <c r="C27" s="38">
        <f>C18</f>
        <v>0.2115839243498818</v>
      </c>
      <c r="D27" s="38">
        <f>D18</f>
        <v>0.35399197958439665</v>
      </c>
      <c r="E27" s="38">
        <f>E18</f>
        <v>0.10791096405474507</v>
      </c>
      <c r="F27" s="38">
        <f>F18</f>
        <v>0.26978284873021713</v>
      </c>
      <c r="G27" s="39">
        <f aca="true" t="shared" si="2" ref="G27:R27">G18</f>
        <v>0.2697828487302171</v>
      </c>
      <c r="H27" s="39">
        <f t="shared" si="2"/>
        <v>0.26978284873021713</v>
      </c>
      <c r="I27" s="39">
        <f t="shared" si="2"/>
        <v>0.2697828487302172</v>
      </c>
      <c r="J27" s="39">
        <f t="shared" si="2"/>
        <v>0.2697828487302172</v>
      </c>
      <c r="K27" s="39">
        <f t="shared" si="2"/>
        <v>0.26978284873021713</v>
      </c>
      <c r="L27" s="39">
        <f t="shared" si="2"/>
        <v>0.26978284873021713</v>
      </c>
      <c r="M27" s="39">
        <f t="shared" si="2"/>
        <v>0.2697828487302171</v>
      </c>
      <c r="N27" s="39">
        <f t="shared" si="2"/>
        <v>0.26978284873021713</v>
      </c>
      <c r="O27" s="39">
        <f t="shared" si="2"/>
        <v>0.26978284873021713</v>
      </c>
      <c r="P27" s="39">
        <f t="shared" si="2"/>
        <v>0.26978284873021713</v>
      </c>
      <c r="Q27" s="39">
        <f t="shared" si="2"/>
        <v>0.2697828487302172</v>
      </c>
      <c r="R27" s="39">
        <f t="shared" si="2"/>
        <v>0.26978284873021713</v>
      </c>
    </row>
    <row r="28" spans="1:18" ht="12">
      <c r="A28" s="25" t="s">
        <v>121</v>
      </c>
      <c r="B28" s="207">
        <f aca="true" t="shared" si="3" ref="B28:R28">IF(B27&lt;$C44,$B45,HLOOKUP(B27,$C44:$K45,2,TRUE))</f>
        <v>0.065</v>
      </c>
      <c r="C28" s="207">
        <f t="shared" si="3"/>
        <v>0.09</v>
      </c>
      <c r="D28" s="207">
        <f t="shared" si="3"/>
        <v>0.09</v>
      </c>
      <c r="E28" s="207">
        <f t="shared" si="3"/>
        <v>0.09</v>
      </c>
      <c r="F28" s="207">
        <f t="shared" si="3"/>
        <v>0.09</v>
      </c>
      <c r="G28" s="235">
        <f t="shared" si="3"/>
        <v>0.09</v>
      </c>
      <c r="H28" s="235">
        <f t="shared" si="3"/>
        <v>0.09</v>
      </c>
      <c r="I28" s="235">
        <f t="shared" si="3"/>
        <v>0.09</v>
      </c>
      <c r="J28" s="235">
        <f t="shared" si="3"/>
        <v>0.09</v>
      </c>
      <c r="K28" s="235">
        <f t="shared" si="3"/>
        <v>0.09</v>
      </c>
      <c r="L28" s="235">
        <f t="shared" si="3"/>
        <v>0.09</v>
      </c>
      <c r="M28" s="235">
        <f t="shared" si="3"/>
        <v>0.09</v>
      </c>
      <c r="N28" s="235">
        <f t="shared" si="3"/>
        <v>0.09</v>
      </c>
      <c r="O28" s="235">
        <f t="shared" si="3"/>
        <v>0.09</v>
      </c>
      <c r="P28" s="235">
        <f t="shared" si="3"/>
        <v>0.09</v>
      </c>
      <c r="Q28" s="235">
        <f t="shared" si="3"/>
        <v>0.09</v>
      </c>
      <c r="R28" s="235">
        <f t="shared" si="3"/>
        <v>0.09</v>
      </c>
    </row>
    <row r="29" spans="1:18" ht="12">
      <c r="A29" s="25" t="s">
        <v>127</v>
      </c>
      <c r="B29" s="211">
        <f>B19</f>
        <v>-82.6996699669967</v>
      </c>
      <c r="C29" s="211">
        <f>C19</f>
        <v>-113.99088145896657</v>
      </c>
      <c r="D29" s="211">
        <f>D19</f>
        <v>-110.08579881656804</v>
      </c>
      <c r="E29" s="211">
        <f>E19</f>
        <v>-107.9304347826087</v>
      </c>
      <c r="F29" s="211">
        <f>F19</f>
        <v>-113.80722891566265</v>
      </c>
      <c r="G29" s="212">
        <f aca="true" t="shared" si="4" ref="G29:R29">G19</f>
        <v>-115.04144827123325</v>
      </c>
      <c r="H29" s="212">
        <f t="shared" si="4"/>
        <v>-115.14437466419379</v>
      </c>
      <c r="I29" s="212">
        <f t="shared" si="4"/>
        <v>-115.24711033689321</v>
      </c>
      <c r="J29" s="212">
        <f t="shared" si="4"/>
        <v>-115.34965581894133</v>
      </c>
      <c r="K29" s="212">
        <f t="shared" si="4"/>
        <v>-115.45201163798879</v>
      </c>
      <c r="L29" s="212">
        <f t="shared" si="4"/>
        <v>-115.55417831973621</v>
      </c>
      <c r="M29" s="212">
        <f t="shared" si="4"/>
        <v>-115.65615638794333</v>
      </c>
      <c r="N29" s="212">
        <f t="shared" si="4"/>
        <v>-115.7579463644376</v>
      </c>
      <c r="O29" s="212">
        <f t="shared" si="4"/>
        <v>-115.85954876912344</v>
      </c>
      <c r="P29" s="212">
        <f t="shared" si="4"/>
        <v>-115.9609641199909</v>
      </c>
      <c r="Q29" s="212">
        <f t="shared" si="4"/>
        <v>-116.06219293312448</v>
      </c>
      <c r="R29" s="212">
        <f t="shared" si="4"/>
        <v>-116.06219293312449</v>
      </c>
    </row>
    <row r="30" spans="1:18" ht="12">
      <c r="A30" s="25" t="s">
        <v>121</v>
      </c>
      <c r="B30" s="207">
        <f aca="true" t="shared" si="5" ref="B30:R30">IF(B29&lt;$C46,$B47,HLOOKUP(B29,$C46:$K47,2,TRUE))</f>
        <v>0.075</v>
      </c>
      <c r="C30" s="207">
        <f t="shared" si="5"/>
        <v>0.075</v>
      </c>
      <c r="D30" s="207">
        <f t="shared" si="5"/>
        <v>0.075</v>
      </c>
      <c r="E30" s="207">
        <f t="shared" si="5"/>
        <v>0.075</v>
      </c>
      <c r="F30" s="207">
        <f t="shared" si="5"/>
        <v>0.075</v>
      </c>
      <c r="G30" s="235">
        <f t="shared" si="5"/>
        <v>0.075</v>
      </c>
      <c r="H30" s="235">
        <f t="shared" si="5"/>
        <v>0.075</v>
      </c>
      <c r="I30" s="235">
        <f t="shared" si="5"/>
        <v>0.075</v>
      </c>
      <c r="J30" s="235">
        <f t="shared" si="5"/>
        <v>0.075</v>
      </c>
      <c r="K30" s="235">
        <f t="shared" si="5"/>
        <v>0.075</v>
      </c>
      <c r="L30" s="235">
        <f t="shared" si="5"/>
        <v>0.075</v>
      </c>
      <c r="M30" s="235">
        <f t="shared" si="5"/>
        <v>0.075</v>
      </c>
      <c r="N30" s="235">
        <f t="shared" si="5"/>
        <v>0.075</v>
      </c>
      <c r="O30" s="235">
        <f t="shared" si="5"/>
        <v>0.075</v>
      </c>
      <c r="P30" s="235">
        <f t="shared" si="5"/>
        <v>0.075</v>
      </c>
      <c r="Q30" s="235">
        <f t="shared" si="5"/>
        <v>0.075</v>
      </c>
      <c r="R30" s="235">
        <f t="shared" si="5"/>
        <v>0.075</v>
      </c>
    </row>
    <row r="31" spans="1:18" ht="12">
      <c r="A31" s="25" t="s">
        <v>38</v>
      </c>
      <c r="B31" s="208">
        <f>-365*'Financial Statements'!B35/'Financial Statements'!B13</f>
        <v>-94.19354838709677</v>
      </c>
      <c r="C31" s="208">
        <f>-365*'Financial Statements'!C35/'Financial Statements'!C13</f>
        <v>-104.32545731707317</v>
      </c>
      <c r="D31" s="208">
        <f>-365*'Financial Statements'!D35/'Financial Statements'!D13</f>
        <v>-108.8251155624037</v>
      </c>
      <c r="E31" s="208">
        <f>-365*'Financial Statements'!E35/'Financial Statements'!E13</f>
        <v>-107.13790446841294</v>
      </c>
      <c r="F31" s="208">
        <f>-365*'Financial Statements'!F35/'Financial Statements'!F13</f>
        <v>-111.71212121212122</v>
      </c>
      <c r="G31" s="210">
        <f>-365*'Financial Statements'!G35/'Financial Statements'!G13</f>
        <v>-111.7121212121212</v>
      </c>
      <c r="H31" s="210">
        <f>-365*'Financial Statements'!H35/'Financial Statements'!H13</f>
        <v>-111.7121212121212</v>
      </c>
      <c r="I31" s="210">
        <f>-365*'Financial Statements'!I35/'Financial Statements'!I13</f>
        <v>-111.7121212121212</v>
      </c>
      <c r="J31" s="210">
        <f>-365*'Financial Statements'!J35/'Financial Statements'!J13</f>
        <v>-111.71212121212119</v>
      </c>
      <c r="K31" s="210">
        <f>-365*'Financial Statements'!K35/'Financial Statements'!K13</f>
        <v>-111.7121212121212</v>
      </c>
      <c r="L31" s="210">
        <f>-365*'Financial Statements'!L35/'Financial Statements'!L13</f>
        <v>-111.7121212121212</v>
      </c>
      <c r="M31" s="210">
        <f>-365*'Financial Statements'!M35/'Financial Statements'!M13</f>
        <v>-111.7121212121212</v>
      </c>
      <c r="N31" s="210">
        <f>-365*'Financial Statements'!N35/'Financial Statements'!N13</f>
        <v>-111.7121212121212</v>
      </c>
      <c r="O31" s="210">
        <f>-365*'Financial Statements'!O35/'Financial Statements'!O13</f>
        <v>-111.7121212121212</v>
      </c>
      <c r="P31" s="210">
        <f>-365*'Financial Statements'!P35/'Financial Statements'!P13</f>
        <v>-111.7121212121212</v>
      </c>
      <c r="Q31" s="210">
        <f>-365*'Financial Statements'!Q35/'Financial Statements'!Q13</f>
        <v>-111.7121212121212</v>
      </c>
      <c r="R31" s="210">
        <f>-365*'Financial Statements'!R35/'Financial Statements'!R13</f>
        <v>-111.7121212121212</v>
      </c>
    </row>
    <row r="32" spans="1:18" ht="12">
      <c r="A32" s="25" t="s">
        <v>121</v>
      </c>
      <c r="B32" s="207">
        <f aca="true" t="shared" si="6" ref="B32:R32">IF(B31&lt;$C48,$B49,HLOOKUP(B31,$C48:$K49,2,TRUE))</f>
        <v>0.03</v>
      </c>
      <c r="C32" s="207">
        <f t="shared" si="6"/>
        <v>0.03</v>
      </c>
      <c r="D32" s="207">
        <f t="shared" si="6"/>
        <v>0.03</v>
      </c>
      <c r="E32" s="207">
        <f t="shared" si="6"/>
        <v>0.03</v>
      </c>
      <c r="F32" s="207">
        <f t="shared" si="6"/>
        <v>0.03</v>
      </c>
      <c r="G32" s="235">
        <f t="shared" si="6"/>
        <v>0.03</v>
      </c>
      <c r="H32" s="235">
        <f t="shared" si="6"/>
        <v>0.03</v>
      </c>
      <c r="I32" s="235">
        <f t="shared" si="6"/>
        <v>0.03</v>
      </c>
      <c r="J32" s="235">
        <f t="shared" si="6"/>
        <v>0.03</v>
      </c>
      <c r="K32" s="235">
        <f t="shared" si="6"/>
        <v>0.03</v>
      </c>
      <c r="L32" s="235">
        <f t="shared" si="6"/>
        <v>0.03</v>
      </c>
      <c r="M32" s="235">
        <f t="shared" si="6"/>
        <v>0.03</v>
      </c>
      <c r="N32" s="235">
        <f t="shared" si="6"/>
        <v>0.03</v>
      </c>
      <c r="O32" s="235">
        <f t="shared" si="6"/>
        <v>0.03</v>
      </c>
      <c r="P32" s="235">
        <f t="shared" si="6"/>
        <v>0.03</v>
      </c>
      <c r="Q32" s="235">
        <f t="shared" si="6"/>
        <v>0.03</v>
      </c>
      <c r="R32" s="235">
        <f t="shared" si="6"/>
        <v>0.03</v>
      </c>
    </row>
    <row r="33" spans="1:18" ht="12">
      <c r="A33" s="25" t="s">
        <v>120</v>
      </c>
      <c r="B33" s="37">
        <f>'Ratio Analysis'!B10</f>
        <v>0</v>
      </c>
      <c r="C33" s="37">
        <f>'Ratio Analysis'!C10</f>
        <v>0.025531914893617058</v>
      </c>
      <c r="D33" s="37">
        <f>'Ratio Analysis'!D10</f>
        <v>-0.012966804979253066</v>
      </c>
      <c r="E33" s="37">
        <f>'Ratio Analysis'!E10</f>
        <v>-0.0005254860746189971</v>
      </c>
      <c r="F33" s="37">
        <f>'Ratio Analysis'!F10</f>
        <v>0.009463722397476282</v>
      </c>
      <c r="G33" s="47">
        <f>'Ratio Analysis'!G10</f>
        <v>0.01133065672497846</v>
      </c>
      <c r="H33" s="47">
        <f>'Ratio Analysis'!H10</f>
        <v>0.01319759105248064</v>
      </c>
      <c r="I33" s="47">
        <f>'Ratio Analysis'!I10</f>
        <v>0.015064525379982818</v>
      </c>
      <c r="J33" s="47">
        <f>'Ratio Analysis'!J10</f>
        <v>0.016931459707484997</v>
      </c>
      <c r="K33" s="47">
        <f>'Ratio Analysis'!K10</f>
        <v>0.018798394034986954</v>
      </c>
      <c r="L33" s="47">
        <f>'Ratio Analysis'!L10</f>
        <v>0.020665328362489133</v>
      </c>
      <c r="M33" s="47">
        <f>'Ratio Analysis'!M10</f>
        <v>0.02253226268999131</v>
      </c>
      <c r="N33" s="47">
        <f>'Ratio Analysis'!N10</f>
        <v>0.02439919701749349</v>
      </c>
      <c r="O33" s="47">
        <f>'Ratio Analysis'!O10</f>
        <v>0.02626613134499567</v>
      </c>
      <c r="P33" s="47">
        <f>'Ratio Analysis'!P10</f>
        <v>0.028133065672497848</v>
      </c>
      <c r="Q33" s="47">
        <f>'Ratio Analysis'!Q10</f>
        <v>0.030000000000000027</v>
      </c>
      <c r="R33" s="47">
        <f>'Ratio Analysis'!R10</f>
        <v>0.030000000000000027</v>
      </c>
    </row>
    <row r="34" spans="1:18" ht="12">
      <c r="A34" s="25" t="s">
        <v>121</v>
      </c>
      <c r="B34" s="207">
        <f aca="true" t="shared" si="7" ref="B34:R34">IF(B33&lt;$C50,$B51,HLOOKUP(B33,$C50:$K51,2,TRUE))</f>
        <v>0.042</v>
      </c>
      <c r="C34" s="207">
        <f t="shared" si="7"/>
        <v>0.032</v>
      </c>
      <c r="D34" s="207">
        <f t="shared" si="7"/>
        <v>0.042</v>
      </c>
      <c r="E34" s="207">
        <f t="shared" si="7"/>
        <v>0.042</v>
      </c>
      <c r="F34" s="207">
        <f t="shared" si="7"/>
        <v>0.032</v>
      </c>
      <c r="G34" s="235">
        <f t="shared" si="7"/>
        <v>0.032</v>
      </c>
      <c r="H34" s="235">
        <f t="shared" si="7"/>
        <v>0.032</v>
      </c>
      <c r="I34" s="235">
        <f t="shared" si="7"/>
        <v>0.032</v>
      </c>
      <c r="J34" s="235">
        <f t="shared" si="7"/>
        <v>0.032</v>
      </c>
      <c r="K34" s="235">
        <f t="shared" si="7"/>
        <v>0.032</v>
      </c>
      <c r="L34" s="235">
        <f t="shared" si="7"/>
        <v>0.032</v>
      </c>
      <c r="M34" s="235">
        <f t="shared" si="7"/>
        <v>0.032</v>
      </c>
      <c r="N34" s="235">
        <f t="shared" si="7"/>
        <v>0.032</v>
      </c>
      <c r="O34" s="235">
        <f t="shared" si="7"/>
        <v>0.032</v>
      </c>
      <c r="P34" s="235">
        <f t="shared" si="7"/>
        <v>0.032</v>
      </c>
      <c r="Q34" s="235">
        <f t="shared" si="7"/>
        <v>0.032</v>
      </c>
      <c r="R34" s="235">
        <f t="shared" si="7"/>
        <v>0.032</v>
      </c>
    </row>
    <row r="35" spans="1:18" s="7" customFormat="1" ht="12">
      <c r="A35" s="7" t="s">
        <v>309</v>
      </c>
      <c r="B35" s="248">
        <f aca="true" t="shared" si="8" ref="B35:R35">AVERAGE(B24,B26,B28,B30,B32,B34)</f>
        <v>0.04783333333333334</v>
      </c>
      <c r="C35" s="248">
        <f t="shared" si="8"/>
        <v>0.04866666666666667</v>
      </c>
      <c r="D35" s="248">
        <f t="shared" si="8"/>
        <v>0.050333333333333334</v>
      </c>
      <c r="E35" s="248">
        <f t="shared" si="8"/>
        <v>0.059500000000000004</v>
      </c>
      <c r="F35" s="248">
        <f t="shared" si="8"/>
        <v>0.04866666666666667</v>
      </c>
      <c r="G35" s="249">
        <f t="shared" si="8"/>
        <v>0.04866666666666667</v>
      </c>
      <c r="H35" s="249">
        <f t="shared" si="8"/>
        <v>0.04866666666666667</v>
      </c>
      <c r="I35" s="249">
        <f t="shared" si="8"/>
        <v>0.04866666666666667</v>
      </c>
      <c r="J35" s="249">
        <f t="shared" si="8"/>
        <v>0.04866666666666667</v>
      </c>
      <c r="K35" s="249">
        <f t="shared" si="8"/>
        <v>0.04866666666666667</v>
      </c>
      <c r="L35" s="249">
        <f t="shared" si="8"/>
        <v>0.04866666666666667</v>
      </c>
      <c r="M35" s="249">
        <f t="shared" si="8"/>
        <v>0.04866666666666667</v>
      </c>
      <c r="N35" s="249">
        <f t="shared" si="8"/>
        <v>0.04866666666666667</v>
      </c>
      <c r="O35" s="249">
        <f t="shared" si="8"/>
        <v>0.04866666666666667</v>
      </c>
      <c r="P35" s="249">
        <f t="shared" si="8"/>
        <v>0.04866666666666667</v>
      </c>
      <c r="Q35" s="249">
        <f t="shared" si="8"/>
        <v>0.04866666666666667</v>
      </c>
      <c r="R35" s="249">
        <f t="shared" si="8"/>
        <v>0.04866666666666667</v>
      </c>
    </row>
    <row r="36" spans="1:18" ht="12">
      <c r="A36" s="7"/>
      <c r="B36" s="248"/>
      <c r="C36" s="248"/>
      <c r="D36" s="248"/>
      <c r="E36" s="248"/>
      <c r="F36" s="248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</row>
    <row r="37" spans="1:18" s="223" customFormat="1" ht="12">
      <c r="A37" s="223" t="s">
        <v>91</v>
      </c>
      <c r="B37" s="222">
        <f>IF(MONTH(B7)&gt;6,YEAR(B7),YEAR(B7)-1)</f>
        <v>2011</v>
      </c>
      <c r="C37" s="222">
        <f>IF(MONTH(C7)&gt;6,YEAR(C7),YEAR(C7)-1)</f>
        <v>2012</v>
      </c>
      <c r="D37" s="222">
        <f>IF(MONTH(D7)&gt;6,YEAR(D7),YEAR(D7)-1)</f>
        <v>2013</v>
      </c>
      <c r="E37" s="222">
        <f aca="true" t="shared" si="9" ref="E37:R37">IF(MONTH(E7)&gt;6,YEAR(E7),YEAR(E7)-1)</f>
        <v>2014</v>
      </c>
      <c r="F37" s="222">
        <f t="shared" si="9"/>
        <v>2015</v>
      </c>
      <c r="G37" s="223">
        <f t="shared" si="9"/>
        <v>2016</v>
      </c>
      <c r="H37" s="223">
        <f t="shared" si="9"/>
        <v>2017</v>
      </c>
      <c r="I37" s="223">
        <f t="shared" si="9"/>
        <v>2018</v>
      </c>
      <c r="J37" s="223">
        <f t="shared" si="9"/>
        <v>2019</v>
      </c>
      <c r="K37" s="223">
        <f t="shared" si="9"/>
        <v>2020</v>
      </c>
      <c r="L37" s="223">
        <f t="shared" si="9"/>
        <v>2021</v>
      </c>
      <c r="M37" s="223">
        <f t="shared" si="9"/>
        <v>2022</v>
      </c>
      <c r="N37" s="223">
        <f t="shared" si="9"/>
        <v>2023</v>
      </c>
      <c r="O37" s="223">
        <f t="shared" si="9"/>
        <v>2024</v>
      </c>
      <c r="P37" s="223">
        <f t="shared" si="9"/>
        <v>2025</v>
      </c>
      <c r="Q37" s="223">
        <f t="shared" si="9"/>
        <v>2026</v>
      </c>
      <c r="R37" s="223">
        <f t="shared" si="9"/>
        <v>2027</v>
      </c>
    </row>
    <row r="38" spans="2:6" s="7" customFormat="1" ht="12">
      <c r="B38" s="13"/>
      <c r="C38" s="13"/>
      <c r="D38" s="13"/>
      <c r="E38" s="13"/>
      <c r="F38" s="13"/>
    </row>
    <row r="39" spans="1:18" ht="12">
      <c r="A39" s="1" t="s">
        <v>185</v>
      </c>
      <c r="B39" t="s">
        <v>95</v>
      </c>
      <c r="C39" t="s">
        <v>94</v>
      </c>
      <c r="D39" t="s">
        <v>96</v>
      </c>
      <c r="E39" s="24" t="s">
        <v>97</v>
      </c>
      <c r="F39" s="24" t="s">
        <v>15</v>
      </c>
      <c r="G39" s="24" t="s">
        <v>16</v>
      </c>
      <c r="H39" s="24" t="s">
        <v>17</v>
      </c>
      <c r="I39" s="24" t="s">
        <v>18</v>
      </c>
      <c r="J39" s="24" t="s">
        <v>19</v>
      </c>
      <c r="K39" s="24" t="s">
        <v>186</v>
      </c>
      <c r="L39" s="24"/>
      <c r="M39" s="24"/>
      <c r="N39" s="24"/>
      <c r="O39" s="24"/>
      <c r="P39" s="24"/>
      <c r="Q39" s="24"/>
      <c r="R39" s="24"/>
    </row>
    <row r="40" spans="1:18" ht="12">
      <c r="A40" t="s">
        <v>225</v>
      </c>
      <c r="C40">
        <v>-0.448</v>
      </c>
      <c r="D40">
        <v>-0.161</v>
      </c>
      <c r="E40">
        <v>-0.049</v>
      </c>
      <c r="F40" s="24">
        <v>0.001</v>
      </c>
      <c r="G40" s="24">
        <v>0.022</v>
      </c>
      <c r="H40" s="24">
        <v>0.038</v>
      </c>
      <c r="I40" s="24">
        <v>0.056</v>
      </c>
      <c r="J40" s="24">
        <v>0.079</v>
      </c>
      <c r="K40" s="24">
        <v>0.118</v>
      </c>
      <c r="L40" s="24"/>
      <c r="M40" s="24"/>
      <c r="N40" s="24"/>
      <c r="O40" s="24"/>
      <c r="P40" s="24"/>
      <c r="Q40" s="24"/>
      <c r="R40" s="24"/>
    </row>
    <row r="41" spans="1:18" ht="12">
      <c r="A41" t="s">
        <v>93</v>
      </c>
      <c r="B41">
        <v>0.083</v>
      </c>
      <c r="C41">
        <v>0.08</v>
      </c>
      <c r="D41">
        <v>0.072</v>
      </c>
      <c r="E41" s="24">
        <v>0.055</v>
      </c>
      <c r="F41" s="24">
        <v>0.045</v>
      </c>
      <c r="G41" s="24">
        <v>0.03</v>
      </c>
      <c r="H41" s="24">
        <v>0.025</v>
      </c>
      <c r="I41" s="24">
        <v>0.02</v>
      </c>
      <c r="J41" s="24">
        <v>0.02</v>
      </c>
      <c r="K41" s="24">
        <v>0.02</v>
      </c>
      <c r="L41" s="24"/>
      <c r="M41" s="24"/>
      <c r="N41" s="24"/>
      <c r="O41" s="24"/>
      <c r="P41" s="24"/>
      <c r="Q41" s="24"/>
      <c r="R41" s="24"/>
    </row>
    <row r="42" spans="1:18" ht="12">
      <c r="A42" t="s">
        <v>226</v>
      </c>
      <c r="C42">
        <v>0.175</v>
      </c>
      <c r="D42">
        <v>0.283</v>
      </c>
      <c r="E42">
        <v>0.385</v>
      </c>
      <c r="F42" s="24">
        <v>0.476</v>
      </c>
      <c r="G42" s="24">
        <v>0.558</v>
      </c>
      <c r="H42" s="24">
        <v>0.633</v>
      </c>
      <c r="I42" s="24">
        <v>0.709</v>
      </c>
      <c r="J42" s="24">
        <v>0.816</v>
      </c>
      <c r="K42" s="24">
        <v>1.03</v>
      </c>
      <c r="L42" s="24"/>
      <c r="M42" s="24"/>
      <c r="N42" s="24"/>
      <c r="O42" s="24"/>
      <c r="P42" s="24"/>
      <c r="Q42" s="24"/>
      <c r="R42" s="24"/>
    </row>
    <row r="43" spans="1:11" ht="12">
      <c r="A43" t="s">
        <v>184</v>
      </c>
      <c r="B43">
        <v>0.02</v>
      </c>
      <c r="C43">
        <v>0.022</v>
      </c>
      <c r="D43">
        <v>0.025</v>
      </c>
      <c r="E43" s="24">
        <v>0.03</v>
      </c>
      <c r="F43" s="24">
        <v>0.035</v>
      </c>
      <c r="G43" s="24">
        <v>0.045</v>
      </c>
      <c r="H43" s="24">
        <v>0.055</v>
      </c>
      <c r="I43" s="24">
        <v>0.07</v>
      </c>
      <c r="J43" s="24">
        <v>0.09</v>
      </c>
      <c r="K43" s="24">
        <v>0.1</v>
      </c>
    </row>
    <row r="44" spans="1:11" ht="12">
      <c r="A44" t="s">
        <v>187</v>
      </c>
      <c r="C44">
        <v>0.382</v>
      </c>
      <c r="D44">
        <v>0.522</v>
      </c>
      <c r="E44">
        <v>0.809</v>
      </c>
      <c r="F44">
        <v>0.994</v>
      </c>
      <c r="G44" s="24">
        <v>1.2</v>
      </c>
      <c r="H44" s="24">
        <v>1.47</v>
      </c>
      <c r="I44" s="24">
        <v>1.89</v>
      </c>
      <c r="J44" s="24">
        <v>2.53</v>
      </c>
      <c r="K44" s="24">
        <v>4.55</v>
      </c>
    </row>
    <row r="45" spans="1:11" ht="12">
      <c r="A45" t="s">
        <v>277</v>
      </c>
      <c r="B45">
        <v>0.09</v>
      </c>
      <c r="C45">
        <v>0.065</v>
      </c>
      <c r="D45">
        <v>0.05</v>
      </c>
      <c r="E45" s="24">
        <v>0.042</v>
      </c>
      <c r="F45" s="24">
        <v>0.04</v>
      </c>
      <c r="G45" s="24">
        <v>0.035</v>
      </c>
      <c r="H45" s="24">
        <v>0.025</v>
      </c>
      <c r="I45" s="24">
        <v>0.02</v>
      </c>
      <c r="J45" s="24">
        <v>0.015</v>
      </c>
      <c r="K45" s="24">
        <v>0.01</v>
      </c>
    </row>
    <row r="46" spans="1:11" ht="12">
      <c r="A46" t="s">
        <v>188</v>
      </c>
      <c r="C46">
        <v>-17.4</v>
      </c>
      <c r="D46">
        <v>-3.6</v>
      </c>
      <c r="E46">
        <v>-0.139</v>
      </c>
      <c r="F46">
        <v>1.25</v>
      </c>
      <c r="G46" s="24">
        <v>2.21</v>
      </c>
      <c r="H46" s="24">
        <v>3.38</v>
      </c>
      <c r="I46" s="24">
        <v>5.21</v>
      </c>
      <c r="J46" s="24">
        <v>9.16</v>
      </c>
      <c r="K46" s="24">
        <v>23.8</v>
      </c>
    </row>
    <row r="47" spans="1:11" ht="12">
      <c r="A47" t="s">
        <v>276</v>
      </c>
      <c r="B47">
        <v>0.075</v>
      </c>
      <c r="C47">
        <v>0.09</v>
      </c>
      <c r="D47">
        <v>0.085</v>
      </c>
      <c r="E47" s="24">
        <v>0.07</v>
      </c>
      <c r="F47" s="24">
        <v>0.05</v>
      </c>
      <c r="G47" s="24">
        <v>0.03</v>
      </c>
      <c r="H47" s="24">
        <v>0.021</v>
      </c>
      <c r="I47" s="24">
        <v>0.018</v>
      </c>
      <c r="J47" s="24">
        <v>0.015</v>
      </c>
      <c r="K47" s="24">
        <v>0.01</v>
      </c>
    </row>
    <row r="48" spans="1:11" ht="12">
      <c r="A48" t="s">
        <v>189</v>
      </c>
      <c r="C48">
        <v>0.365</v>
      </c>
      <c r="D48">
        <v>2.56</v>
      </c>
      <c r="E48">
        <v>14.24</v>
      </c>
      <c r="F48">
        <v>31.39</v>
      </c>
      <c r="G48">
        <v>50</v>
      </c>
      <c r="H48" s="24">
        <v>70.08</v>
      </c>
      <c r="I48" s="24">
        <v>91.98</v>
      </c>
      <c r="J48" s="24">
        <v>121.54</v>
      </c>
      <c r="K48" s="24">
        <v>174.47</v>
      </c>
    </row>
    <row r="49" spans="1:11" ht="12">
      <c r="A49" t="s">
        <v>190</v>
      </c>
      <c r="B49">
        <v>0.03</v>
      </c>
      <c r="C49">
        <v>0.035</v>
      </c>
      <c r="D49">
        <v>0.039</v>
      </c>
      <c r="E49" s="24">
        <v>0.04</v>
      </c>
      <c r="F49" s="24">
        <v>0.042</v>
      </c>
      <c r="G49" s="24">
        <v>0.045</v>
      </c>
      <c r="H49" s="24">
        <v>0.049</v>
      </c>
      <c r="I49" s="24">
        <v>0.055</v>
      </c>
      <c r="J49" s="24">
        <v>0.06</v>
      </c>
      <c r="K49" s="24">
        <v>0.07</v>
      </c>
    </row>
    <row r="50" spans="1:11" ht="12">
      <c r="A50" t="s">
        <v>182</v>
      </c>
      <c r="C50">
        <v>-0.203</v>
      </c>
      <c r="D50">
        <v>-0.063</v>
      </c>
      <c r="E50">
        <v>0.003</v>
      </c>
      <c r="F50">
        <v>0.05</v>
      </c>
      <c r="G50">
        <v>0.098</v>
      </c>
      <c r="H50" s="24">
        <v>0.158</v>
      </c>
      <c r="I50" s="24">
        <v>0.244</v>
      </c>
      <c r="J50" s="24">
        <v>0.398</v>
      </c>
      <c r="K50" s="24">
        <v>0.797</v>
      </c>
    </row>
    <row r="51" spans="1:11" ht="12">
      <c r="A51" t="s">
        <v>275</v>
      </c>
      <c r="B51">
        <v>0.069</v>
      </c>
      <c r="C51">
        <v>0.055</v>
      </c>
      <c r="D51">
        <v>0.042</v>
      </c>
      <c r="E51" s="24">
        <v>0.032</v>
      </c>
      <c r="F51" s="24">
        <v>0.03</v>
      </c>
      <c r="G51" s="24">
        <v>0.03</v>
      </c>
      <c r="H51" s="24">
        <v>0.032</v>
      </c>
      <c r="I51" s="24">
        <v>0.042</v>
      </c>
      <c r="J51" s="24">
        <v>0.05</v>
      </c>
      <c r="K51" s="24">
        <v>0.065</v>
      </c>
    </row>
  </sheetData>
  <sheetProtection/>
  <printOptions/>
  <pageMargins left="0.75" right="0.75" top="1" bottom="1" header="0.5" footer="0.5"/>
  <pageSetup fitToHeight="1" fitToWidth="1" orientation="portrait"/>
  <colBreaks count="1" manualBreakCount="1">
    <brk id="15" max="65535" man="1"/>
  </colBreaks>
  <ignoredErrors>
    <ignoredError sqref="B25:R32 C33:R33" formula="1"/>
    <ignoredError sqref="B33" emptyCellReference="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zoomScale="125" zoomScaleNormal="125" workbookViewId="0" topLeftCell="A1">
      <pane xSplit="1" ySplit="11" topLeftCell="B9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11" sqref="C11"/>
    </sheetView>
  </sheetViews>
  <sheetFormatPr defaultColWidth="8.8515625" defaultRowHeight="12.75"/>
  <cols>
    <col min="1" max="1" width="34.421875" style="0" customWidth="1"/>
    <col min="2" max="6" width="10.7109375" style="0" customWidth="1"/>
    <col min="7" max="7" width="10.7109375" style="7" customWidth="1"/>
    <col min="8" max="18" width="10.7109375" style="0" customWidth="1"/>
  </cols>
  <sheetData>
    <row r="1" spans="1:18" ht="16.5">
      <c r="A1" s="170" t="s">
        <v>70</v>
      </c>
      <c r="B1" s="159"/>
      <c r="C1" s="158"/>
      <c r="D1" s="171"/>
      <c r="E1" s="158"/>
      <c r="F1" s="158"/>
      <c r="G1" s="158"/>
      <c r="H1" s="158"/>
      <c r="I1" s="158"/>
      <c r="J1" s="158"/>
      <c r="K1" s="159"/>
      <c r="L1" s="158"/>
      <c r="M1" s="158"/>
      <c r="N1" s="158"/>
      <c r="O1" s="158"/>
      <c r="P1" s="158"/>
      <c r="Q1" s="158"/>
      <c r="R1" s="158"/>
    </row>
    <row r="2" spans="1:18" ht="18" customHeight="1">
      <c r="A2" s="172"/>
      <c r="B2" s="172"/>
      <c r="C2" s="159"/>
      <c r="D2" s="159"/>
      <c r="E2" s="158"/>
      <c r="F2" s="158"/>
      <c r="G2" s="158"/>
      <c r="H2" s="158"/>
      <c r="I2" s="158"/>
      <c r="J2" s="158"/>
      <c r="K2" s="295"/>
      <c r="L2" s="296"/>
      <c r="M2" s="158"/>
      <c r="N2" s="158"/>
      <c r="O2" s="158"/>
      <c r="P2" s="158"/>
      <c r="Q2" s="158"/>
      <c r="R2" s="158"/>
    </row>
    <row r="3" spans="1:18" ht="12">
      <c r="A3" s="173"/>
      <c r="B3" s="173"/>
      <c r="C3" s="166"/>
      <c r="D3" s="166"/>
      <c r="E3" s="164"/>
      <c r="F3" s="164"/>
      <c r="G3" s="164"/>
      <c r="H3" s="164"/>
      <c r="I3" s="164"/>
      <c r="J3" s="164"/>
      <c r="K3" s="169"/>
      <c r="L3" s="167"/>
      <c r="M3" s="164"/>
      <c r="N3" s="164"/>
      <c r="O3" s="164"/>
      <c r="P3" s="164"/>
      <c r="Q3" s="164"/>
      <c r="R3" s="164"/>
    </row>
    <row r="4" spans="1:12" ht="12" hidden="1">
      <c r="A4" s="25"/>
      <c r="B4" s="97"/>
      <c r="C4" s="1"/>
      <c r="D4" s="1"/>
      <c r="K4" s="57"/>
      <c r="L4" s="2"/>
    </row>
    <row r="5" spans="1:13" ht="12">
      <c r="A5" s="1" t="s">
        <v>310</v>
      </c>
      <c r="B5" s="64" t="str">
        <f>'Financial Statements'!B4</f>
        <v>KOHL'S  </v>
      </c>
      <c r="C5" s="1"/>
      <c r="D5" s="1"/>
      <c r="F5" s="65"/>
      <c r="M5" s="11"/>
    </row>
    <row r="6" spans="1:18" ht="12">
      <c r="A6" s="76"/>
      <c r="B6" s="69"/>
      <c r="C6" s="71"/>
      <c r="D6" s="1"/>
      <c r="F6" s="7"/>
      <c r="G6" s="65"/>
      <c r="H6" s="65"/>
      <c r="I6" s="65"/>
      <c r="J6" s="65"/>
      <c r="K6" s="65"/>
      <c r="L6" s="65"/>
      <c r="M6" s="66"/>
      <c r="N6" s="66"/>
      <c r="O6" s="66"/>
      <c r="P6" s="66"/>
      <c r="Q6" s="67" t="s">
        <v>393</v>
      </c>
      <c r="R6" s="66"/>
    </row>
    <row r="7" spans="1:18" ht="12">
      <c r="A7" s="147" t="str">
        <f>"Estimated Price/Share="&amp;DOLLAR('Model Summary'!B22)</f>
        <v>Estimated Price/Share=$83,704.27</v>
      </c>
      <c r="B7" s="13"/>
      <c r="C7" s="1"/>
      <c r="D7" s="1"/>
      <c r="E7" s="7"/>
      <c r="F7" s="7"/>
      <c r="G7" s="65"/>
      <c r="H7" s="65"/>
      <c r="I7" s="65"/>
      <c r="J7" s="65"/>
      <c r="K7" s="65"/>
      <c r="L7" s="65"/>
      <c r="M7" s="66"/>
      <c r="N7" s="66"/>
      <c r="O7" s="66"/>
      <c r="P7" s="66"/>
      <c r="Q7" s="67" t="s">
        <v>394</v>
      </c>
      <c r="R7" s="66"/>
    </row>
    <row r="8" spans="1:18" s="7" customFormat="1" ht="12">
      <c r="A8" s="6"/>
      <c r="B8" s="96" t="s">
        <v>411</v>
      </c>
      <c r="C8" s="96" t="s">
        <v>411</v>
      </c>
      <c r="D8" s="96" t="s">
        <v>411</v>
      </c>
      <c r="E8" s="96" t="s">
        <v>411</v>
      </c>
      <c r="F8" s="96" t="s">
        <v>411</v>
      </c>
      <c r="G8" s="121" t="s">
        <v>412</v>
      </c>
      <c r="H8" s="121" t="s">
        <v>412</v>
      </c>
      <c r="I8" s="121" t="s">
        <v>412</v>
      </c>
      <c r="J8" s="121" t="s">
        <v>412</v>
      </c>
      <c r="K8" s="121" t="s">
        <v>412</v>
      </c>
      <c r="L8" s="121" t="s">
        <v>412</v>
      </c>
      <c r="M8" s="121" t="s">
        <v>412</v>
      </c>
      <c r="N8" s="121" t="s">
        <v>412</v>
      </c>
      <c r="O8" s="121" t="s">
        <v>412</v>
      </c>
      <c r="P8" s="121" t="s">
        <v>412</v>
      </c>
      <c r="Q8" s="121" t="s">
        <v>412</v>
      </c>
      <c r="R8" s="121" t="s">
        <v>412</v>
      </c>
    </row>
    <row r="9" spans="1:18" s="7" customFormat="1" ht="12.75" thickBot="1">
      <c r="A9" s="6" t="s">
        <v>410</v>
      </c>
      <c r="B9" s="254">
        <f>'Financial Statements'!B8</f>
        <v>39447</v>
      </c>
      <c r="C9" s="254">
        <f>'Financial Statements'!C8</f>
        <v>39813</v>
      </c>
      <c r="D9" s="254">
        <f>'Financial Statements'!D8</f>
        <v>40178</v>
      </c>
      <c r="E9" s="254">
        <f>'Financial Statements'!E8</f>
        <v>40543</v>
      </c>
      <c r="F9" s="254">
        <f>'Financial Statements'!F8</f>
        <v>40908</v>
      </c>
      <c r="G9" s="258">
        <f>'Financial Statements'!G8</f>
        <v>41274</v>
      </c>
      <c r="H9" s="258">
        <f>'Financial Statements'!H8</f>
        <v>41639</v>
      </c>
      <c r="I9" s="258">
        <f>'Financial Statements'!I8</f>
        <v>42004</v>
      </c>
      <c r="J9" s="258">
        <f>'Financial Statements'!J8</f>
        <v>42369</v>
      </c>
      <c r="K9" s="258">
        <f>'Financial Statements'!K8</f>
        <v>42735</v>
      </c>
      <c r="L9" s="258">
        <f>'Financial Statements'!L8</f>
        <v>43100</v>
      </c>
      <c r="M9" s="258">
        <f>'Financial Statements'!M8</f>
        <v>43465</v>
      </c>
      <c r="N9" s="258">
        <f>'Financial Statements'!N8</f>
        <v>43830</v>
      </c>
      <c r="O9" s="258">
        <f>'Financial Statements'!O8</f>
        <v>44196</v>
      </c>
      <c r="P9" s="258">
        <f>'Financial Statements'!P8</f>
        <v>44561</v>
      </c>
      <c r="Q9" s="258">
        <f>'Financial Statements'!Q8</f>
        <v>44926</v>
      </c>
      <c r="R9" s="258">
        <f>'Financial Statements'!R8</f>
        <v>45291</v>
      </c>
    </row>
    <row r="10" spans="1:18" s="7" customFormat="1" ht="12">
      <c r="A10" s="6"/>
      <c r="B10" s="135"/>
      <c r="C10" s="135"/>
      <c r="D10" s="135"/>
      <c r="E10" s="135"/>
      <c r="F10" s="135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</row>
    <row r="11" spans="1:18" s="6" customFormat="1" ht="12">
      <c r="A11" s="6" t="s">
        <v>192</v>
      </c>
      <c r="B11" s="137"/>
      <c r="C11" s="138">
        <f>'Financial Statements'!C29/(('Financial Statements'!C57+'Financial Statements'!B57)/2)</f>
        <v>2.3761593341260405</v>
      </c>
      <c r="D11" s="138">
        <f>'Financial Statements'!D29/(('Financial Statements'!D57+'Financial Statements'!C57)/2)</f>
        <v>2.222985161478033</v>
      </c>
      <c r="E11" s="138">
        <f>'Financial Statements'!E29/(('Financial Statements'!E57+'Financial Statements'!D57)/2)</f>
        <v>0.8822160044767767</v>
      </c>
      <c r="F11" s="138">
        <f>'Financial Statements'!F29/(('Financial Statements'!F57+'Financial Statements'!E57)/2)</f>
        <v>0.8817563802518668</v>
      </c>
      <c r="G11" s="139">
        <f>'Financial Statements'!G29/(('Financial Statements'!G57+'Financial Statements'!F57)/2)</f>
        <v>3.4213361455051903</v>
      </c>
      <c r="H11" s="139">
        <f>'Financial Statements'!H29/(('Financial Statements'!H57+'Financial Statements'!G57)/2)</f>
        <v>7.245095771390583</v>
      </c>
      <c r="I11" s="139">
        <f>'Financial Statements'!I29/(('Financial Statements'!I57+'Financial Statements'!H57)/2)</f>
        <v>7.251510289781953</v>
      </c>
      <c r="J11" s="139">
        <f>'Financial Statements'!J29/(('Financial Statements'!J57+'Financial Statements'!I57)/2)</f>
        <v>7.257912933218905</v>
      </c>
      <c r="K11" s="139">
        <f>'Financial Statements'!K29/(('Financial Statements'!K57+'Financial Statements'!J57)/2)</f>
        <v>7.264303734646413</v>
      </c>
      <c r="L11" s="139">
        <f>'Financial Statements'!L29/(('Financial Statements'!L57+'Financial Statements'!K57)/2)</f>
        <v>7.2706827268877126</v>
      </c>
      <c r="M11" s="139">
        <f>'Financial Statements'!M29/(('Financial Statements'!M57+'Financial Statements'!L57)/2)</f>
        <v>7.277049942644839</v>
      </c>
      <c r="N11" s="139">
        <f>'Financial Statements'!N29/(('Financial Statements'!N57+'Financial Statements'!M57)/2)</f>
        <v>7.283405414499199</v>
      </c>
      <c r="O11" s="139">
        <f>'Financial Statements'!O29/(('Financial Statements'!O57+'Financial Statements'!N57)/2)</f>
        <v>7.289749174912115</v>
      </c>
      <c r="P11" s="139">
        <f>'Financial Statements'!P29/(('Financial Statements'!P57+'Financial Statements'!O57)/2)</f>
        <v>7.296081256225387</v>
      </c>
      <c r="Q11" s="139">
        <f>'Financial Statements'!Q29/(('Financial Statements'!Q57+'Financial Statements'!P57)/2)</f>
        <v>7.302401690661843</v>
      </c>
      <c r="R11" s="139">
        <f>'Financial Statements'!R29/(('Financial Statements'!R57+'Financial Statements'!Q57)/2)</f>
        <v>7.302401690661846</v>
      </c>
    </row>
    <row r="12" spans="1:18" ht="12">
      <c r="A12" s="1"/>
      <c r="B12" s="36"/>
      <c r="C12" s="36"/>
      <c r="D12" s="36"/>
      <c r="E12" s="23"/>
      <c r="F12" s="23"/>
      <c r="G12" s="65"/>
      <c r="H12" s="65"/>
      <c r="I12" s="65"/>
      <c r="J12" s="65"/>
      <c r="K12" s="65"/>
      <c r="L12" s="65"/>
      <c r="M12" s="66"/>
      <c r="N12" s="66"/>
      <c r="O12" s="66"/>
      <c r="P12" s="66"/>
      <c r="Q12" s="67"/>
      <c r="R12" s="66"/>
    </row>
    <row r="13" spans="1:18" ht="12">
      <c r="A13" s="76" t="s">
        <v>160</v>
      </c>
      <c r="B13" s="36"/>
      <c r="C13" s="36"/>
      <c r="D13" s="36"/>
      <c r="E13" s="16"/>
      <c r="F13" s="16"/>
      <c r="G13" s="65"/>
      <c r="H13" s="65"/>
      <c r="I13" s="65"/>
      <c r="J13" s="65"/>
      <c r="K13" s="65"/>
      <c r="L13" s="65"/>
      <c r="M13" s="66"/>
      <c r="N13" s="66"/>
      <c r="O13" s="66"/>
      <c r="P13" s="66"/>
      <c r="Q13" s="67"/>
      <c r="R13" s="66"/>
    </row>
    <row r="14" spans="1:18" ht="12">
      <c r="A14" t="s">
        <v>312</v>
      </c>
      <c r="B14" s="17"/>
      <c r="C14" s="17">
        <f>'Financial Statements'!C12/'Financial Statements'!B12-1</f>
        <v>0.025531914893617058</v>
      </c>
      <c r="D14" s="17">
        <f>'Financial Statements'!D12/'Financial Statements'!C12-1</f>
        <v>-0.012966804979253066</v>
      </c>
      <c r="E14" s="17">
        <f>'Financial Statements'!E12/'Financial Statements'!D12-1</f>
        <v>-0.0005254860746189971</v>
      </c>
      <c r="F14" s="17">
        <f>'Financial Statements'!F12/'Financial Statements'!E12-1</f>
        <v>0.009463722397476282</v>
      </c>
      <c r="G14" s="61">
        <f>F14-($F14-$Q14)/11</f>
        <v>0.011330656724978438</v>
      </c>
      <c r="H14" s="61">
        <f>G14-($G14-$Q14)/10</f>
        <v>0.013197591052480594</v>
      </c>
      <c r="I14" s="61">
        <f>H14-($H14-$Q14)/9</f>
        <v>0.01506452537998275</v>
      </c>
      <c r="J14" s="61">
        <f>I14-($I14-$Q14)/8</f>
        <v>0.016931459707484907</v>
      </c>
      <c r="K14" s="61">
        <f>J14-($J14-$Q14)/7</f>
        <v>0.01879839403498706</v>
      </c>
      <c r="L14" s="61">
        <f>K14-($K14-$Q14)/6</f>
        <v>0.020665328362489216</v>
      </c>
      <c r="M14" s="61">
        <f>L14-($L14-$Q14)/5</f>
        <v>0.022532262689991374</v>
      </c>
      <c r="N14" s="61">
        <f>M14-($M14-$Q14)/4</f>
        <v>0.024399197017493532</v>
      </c>
      <c r="O14" s="61">
        <f>N14-($N14-$Q14)/3</f>
        <v>0.026266131344995686</v>
      </c>
      <c r="P14" s="61">
        <f>O14-($O14-$Q14)/2</f>
        <v>0.02813306567249784</v>
      </c>
      <c r="Q14" s="61">
        <v>0.03</v>
      </c>
      <c r="R14" s="68">
        <f>$Q14</f>
        <v>0.03</v>
      </c>
    </row>
    <row r="15" spans="1:18" ht="12">
      <c r="A15" t="s">
        <v>313</v>
      </c>
      <c r="B15" s="17">
        <f>-'Financial Statements'!B13/'Financial Statements'!B12</f>
        <v>-0.06595744680851064</v>
      </c>
      <c r="C15" s="17">
        <f>-'Financial Statements'!C13/'Financial Statements'!C12</f>
        <v>-0.6804979253112033</v>
      </c>
      <c r="D15" s="17">
        <f>-'Financial Statements'!D13/'Financial Statements'!D12</f>
        <v>-0.6820809248554913</v>
      </c>
      <c r="E15" s="17">
        <f>-'Financial Statements'!E13/'Financial Statements'!E12</f>
        <v>-0.6824395373291272</v>
      </c>
      <c r="F15" s="17">
        <f>-'Financial Statements'!F13/'Financial Statements'!F12</f>
        <v>-0.6875</v>
      </c>
      <c r="G15" s="61">
        <f>F15-($F15-$Q15)/11</f>
        <v>-0.6875</v>
      </c>
      <c r="H15" s="61">
        <f>G15-($G15-$Q15)/10</f>
        <v>-0.6875</v>
      </c>
      <c r="I15" s="61">
        <f>H15-($H15-$Q15)/9</f>
        <v>-0.6875</v>
      </c>
      <c r="J15" s="61">
        <f>I15-($I15-$Q15)/8</f>
        <v>-0.6875</v>
      </c>
      <c r="K15" s="61">
        <f>J15-($J15-$Q15)/7</f>
        <v>-0.6875</v>
      </c>
      <c r="L15" s="61">
        <f>K15-($K15-$Q15)/6</f>
        <v>-0.6875</v>
      </c>
      <c r="M15" s="61">
        <f>L15-($L15-$Q15)/5</f>
        <v>-0.6875</v>
      </c>
      <c r="N15" s="61">
        <f>M15-($M15-$Q15)/4</f>
        <v>-0.6875</v>
      </c>
      <c r="O15" s="61">
        <f>N15-($N15-$Q15)/3</f>
        <v>-0.6875</v>
      </c>
      <c r="P15" s="61">
        <f>O15-($O15-$Q15)/2</f>
        <v>-0.6875</v>
      </c>
      <c r="Q15" s="61">
        <f>$F15</f>
        <v>-0.6875</v>
      </c>
      <c r="R15" s="68">
        <f aca="true" t="shared" si="0" ref="R15:R25">$Q15</f>
        <v>-0.6875</v>
      </c>
    </row>
    <row r="16" spans="1:18" ht="12">
      <c r="A16" t="s">
        <v>430</v>
      </c>
      <c r="B16" s="37">
        <f>-'Financial Statements'!B15/'Financial Statements'!B12</f>
        <v>0</v>
      </c>
      <c r="C16" s="37">
        <f>-'Financial Statements'!C15/'Financial Statements'!C12</f>
        <v>0</v>
      </c>
      <c r="D16" s="37">
        <f>-'Financial Statements'!D15/'Financial Statements'!D12</f>
        <v>0</v>
      </c>
      <c r="E16" s="37">
        <f>-'Financial Statements'!E15/'Financial Statements'!E12</f>
        <v>0</v>
      </c>
      <c r="F16" s="37">
        <f>-'Financial Statements'!F15/'Financial Statements'!F12</f>
        <v>0</v>
      </c>
      <c r="G16" s="61">
        <f aca="true" t="shared" si="1" ref="G16:G22">F16-($F16-$Q16)/11</f>
        <v>0</v>
      </c>
      <c r="H16" s="61">
        <f aca="true" t="shared" si="2" ref="H16:H22">G16-($G16-$Q16)/10</f>
        <v>0</v>
      </c>
      <c r="I16" s="61">
        <f aca="true" t="shared" si="3" ref="I16:I22">H16-($H16-$Q16)/9</f>
        <v>0</v>
      </c>
      <c r="J16" s="61">
        <f aca="true" t="shared" si="4" ref="J16:J22">I16-($I16-$Q16)/8</f>
        <v>0</v>
      </c>
      <c r="K16" s="61">
        <f aca="true" t="shared" si="5" ref="K16:K22">J16-($J16-$Q16)/7</f>
        <v>0</v>
      </c>
      <c r="L16" s="61">
        <f aca="true" t="shared" si="6" ref="L16:L22">K16-($K16-$Q16)/6</f>
        <v>0</v>
      </c>
      <c r="M16" s="61">
        <f aca="true" t="shared" si="7" ref="M16:M22">L16-($L16-$Q16)/5</f>
        <v>0</v>
      </c>
      <c r="N16" s="61">
        <f aca="true" t="shared" si="8" ref="N16:N22">M16-($M16-$Q16)/4</f>
        <v>0</v>
      </c>
      <c r="O16" s="61">
        <f aca="true" t="shared" si="9" ref="O16:O22">N16-($N16-$Q16)/3</f>
        <v>0</v>
      </c>
      <c r="P16" s="61">
        <f aca="true" t="shared" si="10" ref="P16:P22">O16-($O16-$Q16)/2</f>
        <v>0</v>
      </c>
      <c r="Q16" s="61">
        <f aca="true" t="shared" si="11" ref="Q16:Q22">$F16</f>
        <v>0</v>
      </c>
      <c r="R16" s="68">
        <f t="shared" si="0"/>
        <v>0</v>
      </c>
    </row>
    <row r="17" spans="1:18" ht="12">
      <c r="A17" t="s">
        <v>420</v>
      </c>
      <c r="B17" s="17">
        <f>-'Financial Statements'!B16/'Financial Statements'!B12</f>
        <v>-0.225531914893617</v>
      </c>
      <c r="C17" s="17">
        <f>-'Financial Statements'!C16/'Financial Statements'!C12</f>
        <v>-0.22147302904564314</v>
      </c>
      <c r="D17" s="17">
        <f>-'Financial Statements'!D16/'Financial Statements'!D12</f>
        <v>-0.22648449816079874</v>
      </c>
      <c r="E17" s="17">
        <f>-'Financial Statements'!E16/'Financial Statements'!E12</f>
        <v>-0.22870662460567823</v>
      </c>
      <c r="F17" s="17">
        <f>-'Financial Statements'!F16/'Financial Statements'!F12</f>
        <v>-0.23177083333333334</v>
      </c>
      <c r="G17" s="61">
        <f t="shared" si="1"/>
        <v>-0.23177083333333334</v>
      </c>
      <c r="H17" s="61">
        <f t="shared" si="2"/>
        <v>-0.23177083333333334</v>
      </c>
      <c r="I17" s="61">
        <f t="shared" si="3"/>
        <v>-0.23177083333333334</v>
      </c>
      <c r="J17" s="61">
        <f t="shared" si="4"/>
        <v>-0.23177083333333334</v>
      </c>
      <c r="K17" s="61">
        <f t="shared" si="5"/>
        <v>-0.23177083333333334</v>
      </c>
      <c r="L17" s="61">
        <f t="shared" si="6"/>
        <v>-0.23177083333333334</v>
      </c>
      <c r="M17" s="61">
        <f t="shared" si="7"/>
        <v>-0.23177083333333334</v>
      </c>
      <c r="N17" s="61">
        <f t="shared" si="8"/>
        <v>-0.23177083333333334</v>
      </c>
      <c r="O17" s="61">
        <f t="shared" si="9"/>
        <v>-0.23177083333333334</v>
      </c>
      <c r="P17" s="61">
        <f t="shared" si="10"/>
        <v>-0.23177083333333334</v>
      </c>
      <c r="Q17" s="61">
        <f t="shared" si="11"/>
        <v>-0.23177083333333334</v>
      </c>
      <c r="R17" s="68">
        <f t="shared" si="0"/>
        <v>-0.23177083333333334</v>
      </c>
    </row>
    <row r="18" spans="1:18" ht="12">
      <c r="A18" t="s">
        <v>431</v>
      </c>
      <c r="B18" s="17"/>
      <c r="C18" s="17">
        <f>IF((('Financial Statements'!B38+'Financial Statements'!C38+'Financial Statements'!B40+'Financial Statements'!C40)/2)=0,0,-'Financial Statements'!C18/(('Financial Statements'!B38+'Financial Statements'!C38+'Financial Statements'!B40+'Financial Statements'!C40)/2))</f>
        <v>-0.09370078740157481</v>
      </c>
      <c r="D18" s="17">
        <f>IF((('Financial Statements'!C38+'Financial Statements'!D38+'Financial Statements'!C40+'Financial Statements'!D40)/2)=0,0,-'Financial Statements'!D18/(('Financial Statements'!C38+'Financial Statements'!D38+'Financial Statements'!C40+'Financial Statements'!D40)/2))</f>
        <v>-0.10090805902383655</v>
      </c>
      <c r="E18" s="17">
        <f>IF((('Financial Statements'!D38+'Financial Statements'!E38+'Financial Statements'!D40+'Financial Statements'!E40)/2)=0,0,-'Financial Statements'!E18/(('Financial Statements'!D38+'Financial Statements'!E38+'Financial Statements'!D40+'Financial Statements'!E40)/2))</f>
        <v>-0.10260567458019687</v>
      </c>
      <c r="F18" s="17">
        <f>IF((('Financial Statements'!E38+'Financial Statements'!F38+'Financial Statements'!E40+'Financial Statements'!F40)/2)=0,0,-'Financial Statements'!F18/(('Financial Statements'!E38+'Financial Statements'!F38+'Financial Statements'!E40+'Financial Statements'!F40)/2))</f>
        <v>-0.11099227569815805</v>
      </c>
      <c r="G18" s="61">
        <f t="shared" si="1"/>
        <v>-0.11099227569815805</v>
      </c>
      <c r="H18" s="61">
        <f t="shared" si="2"/>
        <v>-0.11099227569815805</v>
      </c>
      <c r="I18" s="61">
        <f t="shared" si="3"/>
        <v>-0.11099227569815805</v>
      </c>
      <c r="J18" s="61">
        <f t="shared" si="4"/>
        <v>-0.11099227569815805</v>
      </c>
      <c r="K18" s="61">
        <f t="shared" si="5"/>
        <v>-0.11099227569815805</v>
      </c>
      <c r="L18" s="61">
        <f t="shared" si="6"/>
        <v>-0.11099227569815805</v>
      </c>
      <c r="M18" s="61">
        <f t="shared" si="7"/>
        <v>-0.11099227569815805</v>
      </c>
      <c r="N18" s="61">
        <f t="shared" si="8"/>
        <v>-0.11099227569815805</v>
      </c>
      <c r="O18" s="61">
        <f t="shared" si="9"/>
        <v>-0.11099227569815805</v>
      </c>
      <c r="P18" s="61">
        <f t="shared" si="10"/>
        <v>-0.11099227569815805</v>
      </c>
      <c r="Q18" s="61">
        <f t="shared" si="11"/>
        <v>-0.11099227569815805</v>
      </c>
      <c r="R18" s="68">
        <f t="shared" si="0"/>
        <v>-0.11099227569815805</v>
      </c>
    </row>
    <row r="19" spans="1:18" ht="12">
      <c r="A19" t="s">
        <v>57</v>
      </c>
      <c r="B19" s="17"/>
      <c r="C19" s="17">
        <f>IF((('Financial Statements'!B44+'Financial Statements'!C44+'Financial Statements'!C49+'Financial Statements'!B49)/2)=0,0,-'Financial Statements'!C20/(('Financial Statements'!B44+'Financial Statements'!C44+'Financial Statements'!C49+'Financial Statements'!B49)/2))</f>
        <v>-0.07478122513922036</v>
      </c>
      <c r="D19" s="17">
        <f>IF((('Financial Statements'!C44+'Financial Statements'!D44+'Financial Statements'!D49+'Financial Statements'!C49)/2)=0,0,-'Financial Statements'!D20/(('Financial Statements'!C44+'Financial Statements'!D44+'Financial Statements'!D49+'Financial Statements'!C49)/2))</f>
        <v>-0.07180794561291694</v>
      </c>
      <c r="E19" s="17">
        <f>IF((('Financial Statements'!D44+'Financial Statements'!E44+'Financial Statements'!E49+'Financial Statements'!D49)/2)=0,0,-'Financial Statements'!E20/(('Financial Statements'!D44+'Financial Statements'!E44+'Financial Statements'!E49+'Financial Statements'!D49)/2))</f>
        <v>-0.07173302838132863</v>
      </c>
      <c r="F19" s="17">
        <f>IF((('Financial Statements'!E44+'Financial Statements'!F44+'Financial Statements'!F49+'Financial Statements'!E49)/2)=0,0,-'Financial Statements'!F20/(('Financial Statements'!E44+'Financial Statements'!F44+'Financial Statements'!F49+'Financial Statements'!E49)/2))</f>
        <v>-0.07013837540931657</v>
      </c>
      <c r="G19" s="61">
        <f t="shared" si="1"/>
        <v>-0.07013837540931657</v>
      </c>
      <c r="H19" s="61">
        <f t="shared" si="2"/>
        <v>-0.07013837540931657</v>
      </c>
      <c r="I19" s="61">
        <f t="shared" si="3"/>
        <v>-0.07013837540931657</v>
      </c>
      <c r="J19" s="61">
        <f t="shared" si="4"/>
        <v>-0.07013837540931657</v>
      </c>
      <c r="K19" s="61">
        <f t="shared" si="5"/>
        <v>-0.07013837540931657</v>
      </c>
      <c r="L19" s="61">
        <f t="shared" si="6"/>
        <v>-0.07013837540931657</v>
      </c>
      <c r="M19" s="61">
        <f t="shared" si="7"/>
        <v>-0.07013837540931657</v>
      </c>
      <c r="N19" s="61">
        <f t="shared" si="8"/>
        <v>-0.07013837540931657</v>
      </c>
      <c r="O19" s="61">
        <f t="shared" si="9"/>
        <v>-0.07013837540931657</v>
      </c>
      <c r="P19" s="61">
        <f t="shared" si="10"/>
        <v>-0.07013837540931657</v>
      </c>
      <c r="Q19" s="61">
        <f t="shared" si="11"/>
        <v>-0.07013837540931657</v>
      </c>
      <c r="R19" s="68">
        <f t="shared" si="0"/>
        <v>-0.07013837540931657</v>
      </c>
    </row>
    <row r="20" spans="1:18" s="4" customFormat="1" ht="12">
      <c r="A20" s="4" t="s">
        <v>114</v>
      </c>
      <c r="B20" s="17">
        <f>'Financial Statements'!B21/'Financial Statements'!B12</f>
        <v>0.09893617021276596</v>
      </c>
      <c r="C20" s="17">
        <f>'Financial Statements'!C21/'Financial Statements'!C12</f>
        <v>0.08091286307053942</v>
      </c>
      <c r="D20" s="17">
        <f>'Financial Statements'!D21/'Financial Statements'!D12</f>
        <v>0.007356805044666317</v>
      </c>
      <c r="E20" s="17">
        <f>'Financial Statements'!E21/'Financial Statements'!E12</f>
        <v>0.07097791798107256</v>
      </c>
      <c r="F20" s="17">
        <f>'Financial Statements'!F21/'Financial Statements'!F12</f>
        <v>0.05520833333333333</v>
      </c>
      <c r="G20" s="61">
        <f t="shared" si="1"/>
        <v>0.05520833333333333</v>
      </c>
      <c r="H20" s="61">
        <f t="shared" si="2"/>
        <v>0.05520833333333333</v>
      </c>
      <c r="I20" s="61">
        <f t="shared" si="3"/>
        <v>0.05520833333333333</v>
      </c>
      <c r="J20" s="61">
        <f t="shared" si="4"/>
        <v>0.05520833333333333</v>
      </c>
      <c r="K20" s="61">
        <f t="shared" si="5"/>
        <v>0.05520833333333333</v>
      </c>
      <c r="L20" s="61">
        <f t="shared" si="6"/>
        <v>0.05520833333333333</v>
      </c>
      <c r="M20" s="61">
        <f t="shared" si="7"/>
        <v>0.05520833333333333</v>
      </c>
      <c r="N20" s="61">
        <f t="shared" si="8"/>
        <v>0.05520833333333333</v>
      </c>
      <c r="O20" s="61">
        <f t="shared" si="9"/>
        <v>0.05520833333333333</v>
      </c>
      <c r="P20" s="61">
        <f t="shared" si="10"/>
        <v>0.05520833333333333</v>
      </c>
      <c r="Q20" s="61">
        <f t="shared" si="11"/>
        <v>0.05520833333333333</v>
      </c>
      <c r="R20" s="68">
        <f t="shared" si="0"/>
        <v>0.05520833333333333</v>
      </c>
    </row>
    <row r="21" spans="1:18" ht="12">
      <c r="A21" t="s">
        <v>421</v>
      </c>
      <c r="B21" s="17">
        <f>IF('Financial Statements'!B22=0,0,-'Financial Statements'!B23/'Financial Statements'!B22)</f>
        <v>-0.025421549538958893</v>
      </c>
      <c r="C21" s="17">
        <f>IF('Financial Statements'!C22=0,0,-'Financial Statements'!C23/'Financial Statements'!C22)</f>
        <v>-0.014596872461413484</v>
      </c>
      <c r="D21" s="17">
        <f>IF('Financial Statements'!D22=0,0,-'Financial Statements'!D23/'Financial Statements'!D22)</f>
        <v>-0.013665189587921565</v>
      </c>
      <c r="E21" s="17">
        <f>IF('Financial Statements'!E22=0,0,-'Financial Statements'!E23/'Financial Statements'!E22)</f>
        <v>-0.012380878991035422</v>
      </c>
      <c r="F21" s="17">
        <f>IF('Financial Statements'!F22=0,0,-'Financial Statements'!F23/'Financial Statements'!F22)</f>
        <v>-0.009801919542577088</v>
      </c>
      <c r="G21" s="61">
        <f t="shared" si="1"/>
        <v>-0.009801919542577088</v>
      </c>
      <c r="H21" s="61">
        <f t="shared" si="2"/>
        <v>-0.009801919542577088</v>
      </c>
      <c r="I21" s="61">
        <f t="shared" si="3"/>
        <v>-0.009801919542577088</v>
      </c>
      <c r="J21" s="61">
        <f t="shared" si="4"/>
        <v>-0.009801919542577088</v>
      </c>
      <c r="K21" s="61">
        <f t="shared" si="5"/>
        <v>-0.009801919542577088</v>
      </c>
      <c r="L21" s="61">
        <f t="shared" si="6"/>
        <v>-0.009801919542577088</v>
      </c>
      <c r="M21" s="61">
        <f t="shared" si="7"/>
        <v>-0.009801919542577088</v>
      </c>
      <c r="N21" s="61">
        <f t="shared" si="8"/>
        <v>-0.009801919542577088</v>
      </c>
      <c r="O21" s="61">
        <f t="shared" si="9"/>
        <v>-0.009801919542577088</v>
      </c>
      <c r="P21" s="61">
        <f t="shared" si="10"/>
        <v>-0.009801919542577088</v>
      </c>
      <c r="Q21" s="61">
        <f t="shared" si="11"/>
        <v>-0.009801919542577088</v>
      </c>
      <c r="R21" s="68">
        <f t="shared" si="0"/>
        <v>-0.009801919542577088</v>
      </c>
    </row>
    <row r="22" spans="1:18" ht="12">
      <c r="A22" t="s">
        <v>168</v>
      </c>
      <c r="B22" s="17">
        <f>IF(('Financial Statements'!B22+'Financial Statements'!B23)=0,0,-'Financial Statements'!B27/('Financial Statements'!B22+'Financial Statements'!B23))</f>
        <v>0</v>
      </c>
      <c r="C22" s="17">
        <f>IF(('Financial Statements'!C22+'Financial Statements'!C23)=0,0,-'Financial Statements'!C27/('Financial Statements'!C22+'Financial Statements'!C23))</f>
        <v>0</v>
      </c>
      <c r="D22" s="17">
        <f>IF(('Financial Statements'!D22+'Financial Statements'!D23)=0,0,-'Financial Statements'!D27/('Financial Statements'!D22+'Financial Statements'!D23))</f>
        <v>0</v>
      </c>
      <c r="E22" s="17">
        <f>IF(('Financial Statements'!E22+'Financial Statements'!E23)=0,0,-'Financial Statements'!E27/('Financial Statements'!E22+'Financial Statements'!E23))</f>
        <v>0</v>
      </c>
      <c r="F22" s="17">
        <f>IF(('Financial Statements'!F22+'Financial Statements'!F23)=0,0,-'Financial Statements'!F27/('Financial Statements'!F22+'Financial Statements'!F23))</f>
        <v>0</v>
      </c>
      <c r="G22" s="61">
        <f t="shared" si="1"/>
        <v>0</v>
      </c>
      <c r="H22" s="61">
        <f t="shared" si="2"/>
        <v>0</v>
      </c>
      <c r="I22" s="61">
        <f t="shared" si="3"/>
        <v>0</v>
      </c>
      <c r="J22" s="61">
        <f t="shared" si="4"/>
        <v>0</v>
      </c>
      <c r="K22" s="61">
        <f t="shared" si="5"/>
        <v>0</v>
      </c>
      <c r="L22" s="61">
        <f t="shared" si="6"/>
        <v>0</v>
      </c>
      <c r="M22" s="61">
        <f t="shared" si="7"/>
        <v>0</v>
      </c>
      <c r="N22" s="61">
        <f t="shared" si="8"/>
        <v>0</v>
      </c>
      <c r="O22" s="61">
        <f t="shared" si="9"/>
        <v>0</v>
      </c>
      <c r="P22" s="61">
        <f t="shared" si="10"/>
        <v>0</v>
      </c>
      <c r="Q22" s="61">
        <f t="shared" si="11"/>
        <v>0</v>
      </c>
      <c r="R22" s="68">
        <f t="shared" si="0"/>
        <v>0</v>
      </c>
    </row>
    <row r="23" spans="1:18" s="4" customFormat="1" ht="12">
      <c r="A23" s="4" t="s">
        <v>210</v>
      </c>
      <c r="B23" s="17">
        <f>'Financial Statements'!B24/'Financial Statements'!B12</f>
        <v>0</v>
      </c>
      <c r="C23" s="17">
        <f>'Financial Statements'!C24/'Financial Statements'!C12</f>
        <v>0</v>
      </c>
      <c r="D23" s="17">
        <f>'Financial Statements'!D24/'Financial Statements'!D12</f>
        <v>0</v>
      </c>
      <c r="E23" s="17">
        <f>'Financial Statements'!E24/'Financial Statements'!E12</f>
        <v>0</v>
      </c>
      <c r="F23" s="17">
        <f>'Financial Statements'!F24/'Financial Statements'!F12</f>
        <v>0</v>
      </c>
      <c r="G23" s="61">
        <v>0</v>
      </c>
      <c r="H23" s="61">
        <f aca="true" t="shared" si="12" ref="H23:Q24">G23</f>
        <v>0</v>
      </c>
      <c r="I23" s="61">
        <f t="shared" si="12"/>
        <v>0</v>
      </c>
      <c r="J23" s="61">
        <f t="shared" si="12"/>
        <v>0</v>
      </c>
      <c r="K23" s="61">
        <f t="shared" si="12"/>
        <v>0</v>
      </c>
      <c r="L23" s="61">
        <f t="shared" si="12"/>
        <v>0</v>
      </c>
      <c r="M23" s="61">
        <f t="shared" si="12"/>
        <v>0</v>
      </c>
      <c r="N23" s="61">
        <f t="shared" si="12"/>
        <v>0</v>
      </c>
      <c r="O23" s="61">
        <f t="shared" si="12"/>
        <v>0</v>
      </c>
      <c r="P23" s="61">
        <f t="shared" si="12"/>
        <v>0</v>
      </c>
      <c r="Q23" s="61">
        <f t="shared" si="12"/>
        <v>0</v>
      </c>
      <c r="R23" s="68">
        <f t="shared" si="0"/>
        <v>0</v>
      </c>
    </row>
    <row r="24" spans="1:18" s="4" customFormat="1" ht="12">
      <c r="A24" s="5" t="s">
        <v>250</v>
      </c>
      <c r="B24" s="17">
        <f>'Financial Statements'!B26/'Financial Statements'!B12</f>
        <v>0</v>
      </c>
      <c r="C24" s="17">
        <f>'Financial Statements'!C26/'Financial Statements'!C12</f>
        <v>0</v>
      </c>
      <c r="D24" s="17">
        <f>'Financial Statements'!D26/'Financial Statements'!D12</f>
        <v>0</v>
      </c>
      <c r="E24" s="17">
        <f>'Financial Statements'!E26/'Financial Statements'!E12</f>
        <v>0</v>
      </c>
      <c r="F24" s="17">
        <f>'Financial Statements'!F26/'Financial Statements'!F12</f>
        <v>0</v>
      </c>
      <c r="G24" s="61">
        <v>0</v>
      </c>
      <c r="H24" s="61">
        <f t="shared" si="12"/>
        <v>0</v>
      </c>
      <c r="I24" s="61">
        <f t="shared" si="12"/>
        <v>0</v>
      </c>
      <c r="J24" s="61">
        <f t="shared" si="12"/>
        <v>0</v>
      </c>
      <c r="K24" s="61">
        <f t="shared" si="12"/>
        <v>0</v>
      </c>
      <c r="L24" s="61">
        <f t="shared" si="12"/>
        <v>0</v>
      </c>
      <c r="M24" s="61">
        <f t="shared" si="12"/>
        <v>0</v>
      </c>
      <c r="N24" s="61">
        <f t="shared" si="12"/>
        <v>0</v>
      </c>
      <c r="O24" s="61">
        <f t="shared" si="12"/>
        <v>0</v>
      </c>
      <c r="P24" s="61">
        <f t="shared" si="12"/>
        <v>0</v>
      </c>
      <c r="Q24" s="61">
        <f t="shared" si="12"/>
        <v>0</v>
      </c>
      <c r="R24" s="68">
        <f t="shared" si="0"/>
        <v>0</v>
      </c>
    </row>
    <row r="25" spans="1:18" s="4" customFormat="1" ht="12">
      <c r="A25" s="5" t="s">
        <v>251</v>
      </c>
      <c r="B25" s="17"/>
      <c r="C25" s="17">
        <f>IF((('Financial Statements'!C54+'Financial Statements'!B54)/2)=0,0,-'Financial Statements'!C28/(('Financial Statements'!C54+'Financial Statements'!B54)/2))</f>
        <v>0</v>
      </c>
      <c r="D25" s="17">
        <f>IF((('Financial Statements'!D54+'Financial Statements'!C54)/2)=0,0,-'Financial Statements'!D28/(('Financial Statements'!D54+'Financial Statements'!C54)/2))</f>
        <v>0</v>
      </c>
      <c r="E25" s="17">
        <f>IF((('Financial Statements'!E54+'Financial Statements'!D54)/2)=0,0,-'Financial Statements'!E28/(('Financial Statements'!E54+'Financial Statements'!D54)/2))</f>
        <v>0</v>
      </c>
      <c r="F25" s="17">
        <f>IF((('Financial Statements'!F54+'Financial Statements'!E54)/2)=0,0,-'Financial Statements'!F28/(('Financial Statements'!F54+'Financial Statements'!E54)/2))</f>
        <v>0</v>
      </c>
      <c r="G25" s="61">
        <f>F25-($F25-$Q25)/11</f>
        <v>0</v>
      </c>
      <c r="H25" s="61">
        <f>G25-($G25-$Q25)/10</f>
        <v>0</v>
      </c>
      <c r="I25" s="61">
        <f>H25-($H25-$Q25)/9</f>
        <v>0</v>
      </c>
      <c r="J25" s="61">
        <f>I25-($I25-$Q25)/8</f>
        <v>0</v>
      </c>
      <c r="K25" s="61">
        <f>J25-($J25-$Q25)/7</f>
        <v>0</v>
      </c>
      <c r="L25" s="61">
        <f>K25-($K25-$Q25)/6</f>
        <v>0</v>
      </c>
      <c r="M25" s="61">
        <f>L25-($L25-$Q25)/5</f>
        <v>0</v>
      </c>
      <c r="N25" s="61">
        <f>M25-($M25-$Q25)/4</f>
        <v>0</v>
      </c>
      <c r="O25" s="61">
        <f>N25-($N25-$Q25)/3</f>
        <v>0</v>
      </c>
      <c r="P25" s="61">
        <f>O25-($O25-$Q25)/2</f>
        <v>0</v>
      </c>
      <c r="Q25" s="61">
        <f>$F25</f>
        <v>0</v>
      </c>
      <c r="R25" s="68">
        <f t="shared" si="0"/>
        <v>0</v>
      </c>
    </row>
    <row r="26" spans="2:18" ht="12">
      <c r="B26" s="32"/>
      <c r="C26" s="32"/>
      <c r="D26" s="32"/>
      <c r="E26" s="32"/>
      <c r="F26" s="32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1:18" ht="12">
      <c r="A27" s="76" t="s">
        <v>161</v>
      </c>
      <c r="B27" s="36"/>
      <c r="C27" s="36"/>
      <c r="D27" s="36"/>
      <c r="E27" s="36"/>
      <c r="F27" s="36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1:18" ht="12">
      <c r="A28" s="76" t="s">
        <v>203</v>
      </c>
      <c r="B28" s="36"/>
      <c r="C28" s="36"/>
      <c r="D28" s="36"/>
      <c r="E28" s="36"/>
      <c r="F28" s="36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1:18" ht="12">
      <c r="A29" t="s">
        <v>314</v>
      </c>
      <c r="B29" s="17">
        <f>'Financial Statements'!B33/'Financial Statements'!B12</f>
        <v>0.06436170212765957</v>
      </c>
      <c r="C29" s="17">
        <f>'Financial Statements'!C33/'Financial Statements'!C12</f>
        <v>0.027852697095435686</v>
      </c>
      <c r="D29" s="17">
        <f>'Financial Statements'!D33/'Financial Statements'!D12</f>
        <v>0.051024697845507096</v>
      </c>
      <c r="E29" s="17">
        <f>'Financial Statements'!E33/'Financial Statements'!E12</f>
        <v>0.07413249211356467</v>
      </c>
      <c r="F29" s="17">
        <f>'Financial Statements'!F33/'Financial Statements'!F12</f>
        <v>0.036822916666666664</v>
      </c>
      <c r="G29" s="61">
        <f aca="true" t="shared" si="13" ref="G29:G35">F29-($F29-$Q29)/11</f>
        <v>0.036822916666666664</v>
      </c>
      <c r="H29" s="61">
        <f aca="true" t="shared" si="14" ref="H29:H35">G29-($G29-$Q29)/10</f>
        <v>0.036822916666666664</v>
      </c>
      <c r="I29" s="61">
        <f aca="true" t="shared" si="15" ref="I29:I35">H29-($H29-$Q29)/9</f>
        <v>0.036822916666666664</v>
      </c>
      <c r="J29" s="61">
        <f aca="true" t="shared" si="16" ref="J29:J35">I29-($I29-$Q29)/8</f>
        <v>0.036822916666666664</v>
      </c>
      <c r="K29" s="61">
        <f aca="true" t="shared" si="17" ref="K29:K35">J29-($J29-$Q29)/7</f>
        <v>0.036822916666666664</v>
      </c>
      <c r="L29" s="61">
        <f aca="true" t="shared" si="18" ref="L29:L35">K29-($K29-$Q29)/6</f>
        <v>0.036822916666666664</v>
      </c>
      <c r="M29" s="61">
        <f aca="true" t="shared" si="19" ref="M29:M35">L29-($L29-$Q29)/5</f>
        <v>0.036822916666666664</v>
      </c>
      <c r="N29" s="61">
        <f aca="true" t="shared" si="20" ref="N29:N35">M29-($M29-$Q29)/4</f>
        <v>0.036822916666666664</v>
      </c>
      <c r="O29" s="61">
        <f aca="true" t="shared" si="21" ref="O29:O35">N29-($N29-$Q29)/3</f>
        <v>0.036822916666666664</v>
      </c>
      <c r="P29" s="61">
        <f aca="true" t="shared" si="22" ref="P29:P35">O29-($O29-$Q29)/2</f>
        <v>0.036822916666666664</v>
      </c>
      <c r="Q29" s="61">
        <f aca="true" t="shared" si="23" ref="Q29:Q35">$F29</f>
        <v>0.036822916666666664</v>
      </c>
      <c r="R29" s="68">
        <f aca="true" t="shared" si="24" ref="R29:R35">$Q29</f>
        <v>0.036822916666666664</v>
      </c>
    </row>
    <row r="30" spans="1:18" ht="12">
      <c r="A30" t="s">
        <v>415</v>
      </c>
      <c r="B30" s="17">
        <f>'Financial Statements'!B34/'Financial Statements'!B12</f>
        <v>0</v>
      </c>
      <c r="C30" s="17">
        <f>'Financial Statements'!C34/'Financial Statements'!C12</f>
        <v>0</v>
      </c>
      <c r="D30" s="17">
        <f>'Financial Statements'!D34/'Financial Statements'!D12</f>
        <v>0</v>
      </c>
      <c r="E30" s="17">
        <f>'Financial Statements'!E34/'Financial Statements'!E12</f>
        <v>0.0013144058885383807</v>
      </c>
      <c r="F30" s="17">
        <f>'Financial Statements'!F34/'Financial Statements'!F12</f>
        <v>0.0013541666666666667</v>
      </c>
      <c r="G30" s="61">
        <f t="shared" si="13"/>
        <v>0.0013541666666666667</v>
      </c>
      <c r="H30" s="61">
        <f t="shared" si="14"/>
        <v>0.0013541666666666667</v>
      </c>
      <c r="I30" s="61">
        <f t="shared" si="15"/>
        <v>0.0013541666666666667</v>
      </c>
      <c r="J30" s="61">
        <f t="shared" si="16"/>
        <v>0.0013541666666666667</v>
      </c>
      <c r="K30" s="61">
        <f t="shared" si="17"/>
        <v>0.0013541666666666667</v>
      </c>
      <c r="L30" s="61">
        <f t="shared" si="18"/>
        <v>0.0013541666666666667</v>
      </c>
      <c r="M30" s="61">
        <f t="shared" si="19"/>
        <v>0.0013541666666666667</v>
      </c>
      <c r="N30" s="61">
        <f t="shared" si="20"/>
        <v>0.0013541666666666667</v>
      </c>
      <c r="O30" s="61">
        <f t="shared" si="21"/>
        <v>0.0013541666666666667</v>
      </c>
      <c r="P30" s="61">
        <f t="shared" si="22"/>
        <v>0.0013541666666666667</v>
      </c>
      <c r="Q30" s="61">
        <f t="shared" si="23"/>
        <v>0.0013541666666666667</v>
      </c>
      <c r="R30" s="68">
        <f t="shared" si="24"/>
        <v>0.0013541666666666667</v>
      </c>
    </row>
    <row r="31" spans="1:18" ht="12">
      <c r="A31" t="s">
        <v>10</v>
      </c>
      <c r="B31" s="17">
        <f>IF('Financial Statements'!B13=0,0,-'Financial Statements'!B35/'Financial Statements'!B13)</f>
        <v>-0.25806451612903225</v>
      </c>
      <c r="C31" s="17">
        <f>IF('Financial Statements'!C13=0,0,-'Financial Statements'!C35/'Financial Statements'!C13)</f>
        <v>-0.2858231707317073</v>
      </c>
      <c r="D31" s="17">
        <f>IF('Financial Statements'!D13=0,0,-'Financial Statements'!D35/'Financial Statements'!D13)</f>
        <v>-0.2981510015408321</v>
      </c>
      <c r="E31" s="17">
        <f>IF('Financial Statements'!E13=0,0,-'Financial Statements'!E35/'Financial Statements'!E13)</f>
        <v>-0.2935285053929122</v>
      </c>
      <c r="F31" s="17">
        <f>IF('Financial Statements'!F13=0,0,-'Financial Statements'!F35/'Financial Statements'!F13)</f>
        <v>-0.30606060606060603</v>
      </c>
      <c r="G31" s="61">
        <f t="shared" si="13"/>
        <v>-0.30606060606060603</v>
      </c>
      <c r="H31" s="61">
        <f t="shared" si="14"/>
        <v>-0.30606060606060603</v>
      </c>
      <c r="I31" s="61">
        <f t="shared" si="15"/>
        <v>-0.30606060606060603</v>
      </c>
      <c r="J31" s="61">
        <f t="shared" si="16"/>
        <v>-0.30606060606060603</v>
      </c>
      <c r="K31" s="61">
        <f t="shared" si="17"/>
        <v>-0.30606060606060603</v>
      </c>
      <c r="L31" s="61">
        <f t="shared" si="18"/>
        <v>-0.30606060606060603</v>
      </c>
      <c r="M31" s="61">
        <f t="shared" si="19"/>
        <v>-0.30606060606060603</v>
      </c>
      <c r="N31" s="61">
        <f t="shared" si="20"/>
        <v>-0.30606060606060603</v>
      </c>
      <c r="O31" s="61">
        <f t="shared" si="21"/>
        <v>-0.30606060606060603</v>
      </c>
      <c r="P31" s="61">
        <f t="shared" si="22"/>
        <v>-0.30606060606060603</v>
      </c>
      <c r="Q31" s="61">
        <f t="shared" si="23"/>
        <v>-0.30606060606060603</v>
      </c>
      <c r="R31" s="68">
        <f t="shared" si="24"/>
        <v>-0.30606060606060603</v>
      </c>
    </row>
    <row r="32" spans="1:18" ht="12">
      <c r="A32" t="s">
        <v>11</v>
      </c>
      <c r="B32" s="17">
        <f>'Financial Statements'!B36/'Financial Statements'!B12</f>
        <v>0.01973404255319149</v>
      </c>
      <c r="C32" s="17">
        <f>'Financial Statements'!C36/'Financial Statements'!C12</f>
        <v>0.022510373443983402</v>
      </c>
      <c r="D32" s="17">
        <f>'Financial Statements'!D36/'Financial Statements'!D12</f>
        <v>0.02348922753547031</v>
      </c>
      <c r="E32" s="17">
        <f>'Financial Statements'!E36/'Financial Statements'!E12</f>
        <v>0.023764458464773923</v>
      </c>
      <c r="F32" s="17">
        <f>'Financial Statements'!F36/'Financial Statements'!F12</f>
        <v>0.015885416666666666</v>
      </c>
      <c r="G32" s="61">
        <f t="shared" si="13"/>
        <v>0.015885416666666666</v>
      </c>
      <c r="H32" s="61">
        <f t="shared" si="14"/>
        <v>0.015885416666666666</v>
      </c>
      <c r="I32" s="61">
        <f t="shared" si="15"/>
        <v>0.015885416666666666</v>
      </c>
      <c r="J32" s="61">
        <f t="shared" si="16"/>
        <v>0.015885416666666666</v>
      </c>
      <c r="K32" s="61">
        <f t="shared" si="17"/>
        <v>0.015885416666666666</v>
      </c>
      <c r="L32" s="61">
        <f t="shared" si="18"/>
        <v>0.015885416666666666</v>
      </c>
      <c r="M32" s="61">
        <f t="shared" si="19"/>
        <v>0.015885416666666666</v>
      </c>
      <c r="N32" s="61">
        <f t="shared" si="20"/>
        <v>0.015885416666666666</v>
      </c>
      <c r="O32" s="61">
        <f t="shared" si="21"/>
        <v>0.015885416666666666</v>
      </c>
      <c r="P32" s="61">
        <f t="shared" si="22"/>
        <v>0.015885416666666666</v>
      </c>
      <c r="Q32" s="61">
        <f t="shared" si="23"/>
        <v>0.015885416666666666</v>
      </c>
      <c r="R32" s="68">
        <f t="shared" si="24"/>
        <v>0.015885416666666666</v>
      </c>
    </row>
    <row r="33" spans="1:18" ht="12">
      <c r="A33" t="s">
        <v>128</v>
      </c>
      <c r="B33" s="17">
        <f>IF('Financial Statements'!B13=0,0,-'Financial Statements'!B45/'Financial Statements'!B13)</f>
        <v>-0.9919354838709677</v>
      </c>
      <c r="C33" s="17">
        <f>IF('Financial Statements'!C13=0,0,-'Financial Statements'!C45/'Financial Statements'!C13)</f>
        <v>-0.09984756097560976</v>
      </c>
      <c r="D33" s="17">
        <f>IF('Financial Statements'!D13=0,0,-'Financial Statements'!D45/'Financial Statements'!D13)</f>
        <v>-0.10554699537750385</v>
      </c>
      <c r="E33" s="17">
        <f>IF('Financial Statements'!E13=0,0,-'Financial Statements'!E45/'Financial Statements'!E13)</f>
        <v>-0.11633281972265024</v>
      </c>
      <c r="F33" s="17">
        <f>IF('Financial Statements'!F13=0,0,-'Financial Statements'!F45/'Financial Statements'!F13)</f>
        <v>-0.0946969696969697</v>
      </c>
      <c r="G33" s="61">
        <f t="shared" si="13"/>
        <v>-0.0946969696969697</v>
      </c>
      <c r="H33" s="61">
        <f t="shared" si="14"/>
        <v>-0.0946969696969697</v>
      </c>
      <c r="I33" s="61">
        <f t="shared" si="15"/>
        <v>-0.0946969696969697</v>
      </c>
      <c r="J33" s="61">
        <f t="shared" si="16"/>
        <v>-0.0946969696969697</v>
      </c>
      <c r="K33" s="61">
        <f t="shared" si="17"/>
        <v>-0.0946969696969697</v>
      </c>
      <c r="L33" s="61">
        <f t="shared" si="18"/>
        <v>-0.0946969696969697</v>
      </c>
      <c r="M33" s="61">
        <f t="shared" si="19"/>
        <v>-0.0946969696969697</v>
      </c>
      <c r="N33" s="61">
        <f t="shared" si="20"/>
        <v>-0.0946969696969697</v>
      </c>
      <c r="O33" s="61">
        <f t="shared" si="21"/>
        <v>-0.0946969696969697</v>
      </c>
      <c r="P33" s="61">
        <f t="shared" si="22"/>
        <v>-0.0946969696969697</v>
      </c>
      <c r="Q33" s="61">
        <f t="shared" si="23"/>
        <v>-0.0946969696969697</v>
      </c>
      <c r="R33" s="68">
        <f t="shared" si="24"/>
        <v>-0.0946969696969697</v>
      </c>
    </row>
    <row r="34" spans="1:18" ht="12">
      <c r="A34" t="s">
        <v>162</v>
      </c>
      <c r="B34" s="17">
        <f>'Financial Statements'!B46/'Financial Statements'!B12</f>
        <v>0.007074468085106383</v>
      </c>
      <c r="C34" s="17">
        <f>'Financial Statements'!C46/'Financial Statements'!C12</f>
        <v>0.01504149377593361</v>
      </c>
      <c r="D34" s="17">
        <f>'Financial Statements'!D46/'Financial Statements'!D12</f>
        <v>0.004939569101418812</v>
      </c>
      <c r="E34" s="17">
        <f>'Financial Statements'!E46/'Financial Statements'!E12</f>
        <v>0.004100946372239748</v>
      </c>
      <c r="F34" s="17">
        <f>'Financial Statements'!F46/'Financial Statements'!F12</f>
        <v>0.0067708333333333336</v>
      </c>
      <c r="G34" s="61">
        <f t="shared" si="13"/>
        <v>0.0067708333333333336</v>
      </c>
      <c r="H34" s="61">
        <f t="shared" si="14"/>
        <v>0.0067708333333333336</v>
      </c>
      <c r="I34" s="61">
        <f t="shared" si="15"/>
        <v>0.0067708333333333336</v>
      </c>
      <c r="J34" s="61">
        <f t="shared" si="16"/>
        <v>0.0067708333333333336</v>
      </c>
      <c r="K34" s="61">
        <f t="shared" si="17"/>
        <v>0.0067708333333333336</v>
      </c>
      <c r="L34" s="61">
        <f t="shared" si="18"/>
        <v>0.0067708333333333336</v>
      </c>
      <c r="M34" s="61">
        <f t="shared" si="19"/>
        <v>0.0067708333333333336</v>
      </c>
      <c r="N34" s="61">
        <f t="shared" si="20"/>
        <v>0.0067708333333333336</v>
      </c>
      <c r="O34" s="61">
        <f t="shared" si="21"/>
        <v>0.0067708333333333336</v>
      </c>
      <c r="P34" s="61">
        <f t="shared" si="22"/>
        <v>0.0067708333333333336</v>
      </c>
      <c r="Q34" s="61">
        <f t="shared" si="23"/>
        <v>0.0067708333333333336</v>
      </c>
      <c r="R34" s="68">
        <f t="shared" si="24"/>
        <v>0.0067708333333333336</v>
      </c>
    </row>
    <row r="35" spans="1:18" ht="12">
      <c r="A35" t="s">
        <v>129</v>
      </c>
      <c r="B35" s="17">
        <f>'Financial Statements'!B47/'Financial Statements'!B12</f>
        <v>0.0601063829787234</v>
      </c>
      <c r="C35" s="17">
        <f>'Financial Statements'!C47/'Financial Statements'!C12</f>
        <v>0.04320539419087137</v>
      </c>
      <c r="D35" s="17">
        <f>'Financial Statements'!D47/'Financial Statements'!D12</f>
        <v>0.05990541250656858</v>
      </c>
      <c r="E35" s="17">
        <f>'Financial Statements'!E47/'Financial Statements'!E12</f>
        <v>0.6098843322818086</v>
      </c>
      <c r="F35" s="17">
        <f>'Financial Statements'!F47/'Financial Statements'!F12</f>
        <v>0.06302083333333333</v>
      </c>
      <c r="G35" s="61">
        <f t="shared" si="13"/>
        <v>0.06302083333333333</v>
      </c>
      <c r="H35" s="61">
        <f t="shared" si="14"/>
        <v>0.06302083333333333</v>
      </c>
      <c r="I35" s="61">
        <f t="shared" si="15"/>
        <v>0.06302083333333333</v>
      </c>
      <c r="J35" s="61">
        <f t="shared" si="16"/>
        <v>0.06302083333333333</v>
      </c>
      <c r="K35" s="61">
        <f t="shared" si="17"/>
        <v>0.06302083333333333</v>
      </c>
      <c r="L35" s="61">
        <f t="shared" si="18"/>
        <v>0.06302083333333333</v>
      </c>
      <c r="M35" s="61">
        <f t="shared" si="19"/>
        <v>0.06302083333333333</v>
      </c>
      <c r="N35" s="61">
        <f t="shared" si="20"/>
        <v>0.06302083333333333</v>
      </c>
      <c r="O35" s="61">
        <f t="shared" si="21"/>
        <v>0.06302083333333333</v>
      </c>
      <c r="P35" s="61">
        <f t="shared" si="22"/>
        <v>0.06302083333333333</v>
      </c>
      <c r="Q35" s="61">
        <f t="shared" si="23"/>
        <v>0.06302083333333333</v>
      </c>
      <c r="R35" s="68">
        <f t="shared" si="24"/>
        <v>0.06302083333333333</v>
      </c>
    </row>
    <row r="36" spans="1:18" s="58" customFormat="1" ht="12">
      <c r="A36" s="76" t="s">
        <v>204</v>
      </c>
      <c r="B36" s="17"/>
      <c r="C36" s="17"/>
      <c r="D36" s="17"/>
      <c r="E36" s="17"/>
      <c r="F36" s="17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1:18" ht="12">
      <c r="A37" t="s">
        <v>315</v>
      </c>
      <c r="B37" s="17">
        <f>'Financial Statements'!B38/'Financial Statements'!B12</f>
        <v>0.47393617021276596</v>
      </c>
      <c r="C37" s="17">
        <f>'Financial Statements'!C38/'Financial Statements'!C12</f>
        <v>0.4600622406639004</v>
      </c>
      <c r="D37" s="17">
        <f>'Financial Statements'!D38/'Financial Statements'!D12</f>
        <v>0.4598003152916448</v>
      </c>
      <c r="E37" s="17">
        <f>'Financial Statements'!E38/'Financial Statements'!E12</f>
        <v>0.4479495268138801</v>
      </c>
      <c r="F37" s="17">
        <f>'Financial Statements'!F38/'Financial Statements'!F12</f>
        <v>0.4328125</v>
      </c>
      <c r="G37" s="61">
        <f>F37-($F37-$Q37)/11</f>
        <v>0.4328125</v>
      </c>
      <c r="H37" s="61">
        <f>G37-($G37-$Q37)/10</f>
        <v>0.4328125</v>
      </c>
      <c r="I37" s="61">
        <f>H37-($H37-$Q37)/9</f>
        <v>0.4328125</v>
      </c>
      <c r="J37" s="61">
        <f>I37-($I37-$Q37)/8</f>
        <v>0.4328125</v>
      </c>
      <c r="K37" s="61">
        <f>J37-($J37-$Q37)/7</f>
        <v>0.4328125</v>
      </c>
      <c r="L37" s="61">
        <f>K37-($K37-$Q37)/6</f>
        <v>0.4328125</v>
      </c>
      <c r="M37" s="61">
        <f>L37-($L37-$Q37)/5</f>
        <v>0.4328125</v>
      </c>
      <c r="N37" s="61">
        <f>M37-($M37-$Q37)/4</f>
        <v>0.4328125</v>
      </c>
      <c r="O37" s="61">
        <f>N37-($N37-$Q37)/3</f>
        <v>0.4328125</v>
      </c>
      <c r="P37" s="61">
        <f>O37-($O37-$Q37)/2</f>
        <v>0.4328125</v>
      </c>
      <c r="Q37" s="61">
        <f>$F37</f>
        <v>0.4328125</v>
      </c>
      <c r="R37" s="68">
        <f>$Q37</f>
        <v>0.4328125</v>
      </c>
    </row>
    <row r="38" spans="1:18" ht="12">
      <c r="A38" t="s">
        <v>130</v>
      </c>
      <c r="B38" s="17">
        <f>'Financial Statements'!B39/'Financial Statements'!B12</f>
        <v>0.008138297872340425</v>
      </c>
      <c r="C38" s="17">
        <f>'Financial Statements'!C39/'Financial Statements'!C12</f>
        <v>0.00274896265560166</v>
      </c>
      <c r="D38" s="17">
        <f>'Financial Statements'!D39/'Financial Statements'!D12</f>
        <v>0.0033631108775617445</v>
      </c>
      <c r="E38" s="17">
        <f>'Financial Statements'!E39/'Financial Statements'!E12</f>
        <v>0</v>
      </c>
      <c r="F38" s="17">
        <f>'Financial Statements'!F39/'Financial Statements'!F12</f>
        <v>0</v>
      </c>
      <c r="G38" s="61">
        <f>F38-($F38-$Q38)/11</f>
        <v>0</v>
      </c>
      <c r="H38" s="61">
        <f>G38-($G38-$Q38)/10</f>
        <v>0</v>
      </c>
      <c r="I38" s="61">
        <f>H38-($H38-$Q38)/9</f>
        <v>0</v>
      </c>
      <c r="J38" s="61">
        <f>I38-($I38-$Q38)/8</f>
        <v>0</v>
      </c>
      <c r="K38" s="61">
        <f>J38-($J38-$Q38)/7</f>
        <v>0</v>
      </c>
      <c r="L38" s="61">
        <f>K38-($K38-$Q38)/6</f>
        <v>0</v>
      </c>
      <c r="M38" s="61">
        <f>L38-($L38-$Q38)/5</f>
        <v>0</v>
      </c>
      <c r="N38" s="61">
        <f>M38-($M38-$Q38)/4</f>
        <v>0</v>
      </c>
      <c r="O38" s="61">
        <f>N38-($N38-$Q38)/3</f>
        <v>0</v>
      </c>
      <c r="P38" s="61">
        <f>O38-($O38-$Q38)/2</f>
        <v>0</v>
      </c>
      <c r="Q38" s="61">
        <f>$F38</f>
        <v>0</v>
      </c>
      <c r="R38" s="68">
        <f>$Q38</f>
        <v>0</v>
      </c>
    </row>
    <row r="39" spans="1:18" ht="12">
      <c r="A39" t="s">
        <v>131</v>
      </c>
      <c r="B39" s="17">
        <f>'Financial Statements'!B40/'Financial Statements'!B12</f>
        <v>0</v>
      </c>
      <c r="C39" s="17">
        <f>'Financial Statements'!C40/'Financial Statements'!C12</f>
        <v>0</v>
      </c>
      <c r="D39" s="17">
        <f>'Financial Statements'!D40/'Financial Statements'!D12</f>
        <v>0</v>
      </c>
      <c r="E39" s="17">
        <f>'Financial Statements'!E40/'Financial Statements'!E12</f>
        <v>0</v>
      </c>
      <c r="F39" s="17">
        <f>'Financial Statements'!F40/'Financial Statements'!F12</f>
        <v>0</v>
      </c>
      <c r="G39" s="61">
        <f>F39-($F39-$Q39)/11</f>
        <v>0</v>
      </c>
      <c r="H39" s="61">
        <f>G39-($G39-$Q39)/10</f>
        <v>0</v>
      </c>
      <c r="I39" s="61">
        <f>H39-($H39-$Q39)/9</f>
        <v>0</v>
      </c>
      <c r="J39" s="61">
        <f>I39-($I39-$Q39)/8</f>
        <v>0</v>
      </c>
      <c r="K39" s="61">
        <f>J39-($J39-$Q39)/7</f>
        <v>0</v>
      </c>
      <c r="L39" s="61">
        <f>K39-($K39-$Q39)/6</f>
        <v>0</v>
      </c>
      <c r="M39" s="61">
        <f>L39-($L39-$Q39)/5</f>
        <v>0</v>
      </c>
      <c r="N39" s="61">
        <f>M39-($M39-$Q39)/4</f>
        <v>0</v>
      </c>
      <c r="O39" s="61">
        <f>N39-($N39-$Q39)/3</f>
        <v>0</v>
      </c>
      <c r="P39" s="61">
        <f>O39-($O39-$Q39)/2</f>
        <v>0</v>
      </c>
      <c r="Q39" s="61">
        <f>$F39</f>
        <v>0</v>
      </c>
      <c r="R39" s="68">
        <f>$Q39</f>
        <v>0</v>
      </c>
    </row>
    <row r="40" spans="1:18" ht="12">
      <c r="A40" t="s">
        <v>53</v>
      </c>
      <c r="B40" s="17">
        <f>'Financial Statements'!B41/'Financial Statements'!B12</f>
        <v>0.013882978723404256</v>
      </c>
      <c r="C40" s="17">
        <f>'Financial Statements'!C41/'Financial Statements'!C12</f>
        <v>0.01353734439834025</v>
      </c>
      <c r="D40" s="17">
        <f>'Financial Statements'!D41/'Financial Statements'!D12</f>
        <v>0.014555964266946926</v>
      </c>
      <c r="E40" s="17">
        <f>'Financial Statements'!E41/'Financial Statements'!E12</f>
        <v>0.01146161934805468</v>
      </c>
      <c r="F40" s="17">
        <f>'Financial Statements'!F41/'Financial Statements'!F12</f>
        <v>0.0115625</v>
      </c>
      <c r="G40" s="61">
        <f>F40-($F40-$Q40)/11</f>
        <v>0.0115625</v>
      </c>
      <c r="H40" s="61">
        <f>G40-($G40-$Q40)/10</f>
        <v>0.0115625</v>
      </c>
      <c r="I40" s="61">
        <f>H40-($H40-$Q40)/9</f>
        <v>0.0115625</v>
      </c>
      <c r="J40" s="61">
        <f>I40-($I40-$Q40)/8</f>
        <v>0.0115625</v>
      </c>
      <c r="K40" s="61">
        <f>J40-($J40-$Q40)/7</f>
        <v>0.0115625</v>
      </c>
      <c r="L40" s="61">
        <f>K40-($K40-$Q40)/6</f>
        <v>0.0115625</v>
      </c>
      <c r="M40" s="61">
        <f>L40-($L40-$Q40)/5</f>
        <v>0.0115625</v>
      </c>
      <c r="N40" s="61">
        <f>M40-($M40-$Q40)/4</f>
        <v>0.0115625</v>
      </c>
      <c r="O40" s="61">
        <f>N40-($N40-$Q40)/3</f>
        <v>0.0115625</v>
      </c>
      <c r="P40" s="61">
        <f>O40-($O40-$Q40)/2</f>
        <v>0.0115625</v>
      </c>
      <c r="Q40" s="61">
        <f>$F40</f>
        <v>0.0115625</v>
      </c>
      <c r="R40" s="68">
        <f>$Q40</f>
        <v>0.0115625</v>
      </c>
    </row>
    <row r="41" spans="1:18" s="58" customFormat="1" ht="12">
      <c r="A41" s="76" t="s">
        <v>303</v>
      </c>
      <c r="B41" s="17"/>
      <c r="C41" s="17"/>
      <c r="D41" s="17"/>
      <c r="E41" s="17"/>
      <c r="F41" s="17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1:18" ht="12">
      <c r="A42" t="s">
        <v>324</v>
      </c>
      <c r="B42" s="17">
        <f>'Financial Statements'!B50/'Financial Statements'!B12</f>
        <v>0.02446808510638298</v>
      </c>
      <c r="C42" s="17">
        <f>'Financial Statements'!C50/'Financial Statements'!C12</f>
        <v>0.026556016597510373</v>
      </c>
      <c r="D42" s="17">
        <f>'Financial Statements'!D50/'Financial Statements'!D12</f>
        <v>0.029427220178665267</v>
      </c>
      <c r="E42" s="17">
        <f>'Financial Statements'!E50/'Financial Statements'!E12</f>
        <v>0.029547844374342797</v>
      </c>
      <c r="F42" s="17">
        <f>'Financial Statements'!F50/'Financial Statements'!F12</f>
        <v>0.029322916666666667</v>
      </c>
      <c r="G42" s="61">
        <f>F42-($F42-$Q42)/11</f>
        <v>0.029322916666666667</v>
      </c>
      <c r="H42" s="61">
        <f>G42-($G42-$Q42)/10</f>
        <v>0.029322916666666667</v>
      </c>
      <c r="I42" s="61">
        <f>H42-($H42-$Q42)/9</f>
        <v>0.029322916666666667</v>
      </c>
      <c r="J42" s="61">
        <f>I42-($I42-$Q42)/8</f>
        <v>0.029322916666666667</v>
      </c>
      <c r="K42" s="61">
        <f>J42-($J42-$Q42)/7</f>
        <v>0.029322916666666667</v>
      </c>
      <c r="L42" s="61">
        <f>K42-($K42-$Q42)/6</f>
        <v>0.029322916666666667</v>
      </c>
      <c r="M42" s="61">
        <f>L42-($L42-$Q42)/5</f>
        <v>0.029322916666666667</v>
      </c>
      <c r="N42" s="61">
        <f>M42-($M42-$Q42)/4</f>
        <v>0.029322916666666667</v>
      </c>
      <c r="O42" s="61">
        <f>N42-($N42-$Q42)/3</f>
        <v>0.029322916666666667</v>
      </c>
      <c r="P42" s="61">
        <f>O42-($O42-$Q42)/2</f>
        <v>0.029322916666666667</v>
      </c>
      <c r="Q42" s="61">
        <f>$F42</f>
        <v>0.029322916666666667</v>
      </c>
      <c r="R42" s="68">
        <f>$Q42</f>
        <v>0.029322916666666667</v>
      </c>
    </row>
    <row r="43" spans="1:18" ht="12">
      <c r="A43" t="s">
        <v>227</v>
      </c>
      <c r="B43" s="17">
        <f>'Financial Statements'!B51/'Financial Statements'!B12</f>
        <v>0.020531914893617022</v>
      </c>
      <c r="C43" s="17">
        <f>'Financial Statements'!C51/'Financial Statements'!C12</f>
        <v>0.018775933609958505</v>
      </c>
      <c r="D43" s="17">
        <f>'Financial Statements'!D51/'Financial Statements'!D12</f>
        <v>0.020073568050446664</v>
      </c>
      <c r="E43" s="17">
        <f>'Financial Statements'!E51/'Financial Statements'!E12</f>
        <v>0.01934805467928496</v>
      </c>
      <c r="F43" s="17">
        <f>'Financial Statements'!F51/'Financial Statements'!F12</f>
        <v>0.013385416666666667</v>
      </c>
      <c r="G43" s="61">
        <f>F43-($F43-$Q43)/11</f>
        <v>0.013385416666666667</v>
      </c>
      <c r="H43" s="61">
        <f>G43-($G43-$Q43)/10</f>
        <v>0.013385416666666667</v>
      </c>
      <c r="I43" s="61">
        <f>H43-($H43-$Q43)/9</f>
        <v>0.013385416666666667</v>
      </c>
      <c r="J43" s="61">
        <f>I43-($I43-$Q43)/8</f>
        <v>0.013385416666666667</v>
      </c>
      <c r="K43" s="61">
        <f>J43-($J43-$Q43)/7</f>
        <v>0.013385416666666667</v>
      </c>
      <c r="L43" s="61">
        <f>K43-($K43-$Q43)/6</f>
        <v>0.013385416666666667</v>
      </c>
      <c r="M43" s="61">
        <f>L43-($L43-$Q43)/5</f>
        <v>0.013385416666666667</v>
      </c>
      <c r="N43" s="61">
        <f>M43-($M43-$Q43)/4</f>
        <v>0.013385416666666667</v>
      </c>
      <c r="O43" s="61">
        <f>N43-($N43-$Q43)/3</f>
        <v>0.013385416666666667</v>
      </c>
      <c r="P43" s="61">
        <f>O43-($O43-$Q43)/2</f>
        <v>0.013385416666666667</v>
      </c>
      <c r="Q43" s="61">
        <f>$F43</f>
        <v>0.013385416666666667</v>
      </c>
      <c r="R43" s="68">
        <f>$Q43</f>
        <v>0.013385416666666667</v>
      </c>
    </row>
    <row r="44" spans="1:18" ht="12">
      <c r="A44" s="76" t="s">
        <v>304</v>
      </c>
      <c r="B44" s="36"/>
      <c r="C44" s="36"/>
      <c r="D44" s="36"/>
      <c r="E44" s="36"/>
      <c r="F44" s="36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1:18" ht="12">
      <c r="A45" t="s">
        <v>318</v>
      </c>
      <c r="B45" s="17">
        <f>'Financial Statements'!B44/'Financial Statements'!B42</f>
        <v>0.008374164810690423</v>
      </c>
      <c r="C45" s="17">
        <f>'Financial Statements'!C44/'Financial Statements'!C42</f>
        <v>0.007551240560949299</v>
      </c>
      <c r="D45" s="17">
        <f>'Financial Statements'!D44/'Financial Statements'!D42</f>
        <v>0.009666875304263162</v>
      </c>
      <c r="E45" s="17">
        <f>'Financial Statements'!E44/'Financial Statements'!E42</f>
        <v>0.007620367163145133</v>
      </c>
      <c r="F45" s="17">
        <f>'Financial Statements'!F44/'Financial Statements'!F42</f>
        <v>0.009331373989713445</v>
      </c>
      <c r="G45" s="61">
        <f>F45-($F45-$Q45)/11</f>
        <v>0.009331373989713445</v>
      </c>
      <c r="H45" s="61">
        <f>G45-($G45-$Q45)/10</f>
        <v>0.009331373989713445</v>
      </c>
      <c r="I45" s="61">
        <f>H45-($H45-$Q45)/9</f>
        <v>0.009331373989713445</v>
      </c>
      <c r="J45" s="61">
        <f>I45-($I45-$Q45)/8</f>
        <v>0.009331373989713445</v>
      </c>
      <c r="K45" s="61">
        <f>J45-($J45-$Q45)/7</f>
        <v>0.009331373989713445</v>
      </c>
      <c r="L45" s="61">
        <f>K45-($K45-$Q45)/6</f>
        <v>0.009331373989713445</v>
      </c>
      <c r="M45" s="61">
        <f>L45-($L45-$Q45)/5</f>
        <v>0.009331373989713445</v>
      </c>
      <c r="N45" s="61">
        <f>M45-($M45-$Q45)/4</f>
        <v>0.009331373989713445</v>
      </c>
      <c r="O45" s="61">
        <f>N45-($N45-$Q45)/3</f>
        <v>0.009331373989713445</v>
      </c>
      <c r="P45" s="61">
        <f>O45-($O45-$Q45)/2</f>
        <v>0.009331373989713445</v>
      </c>
      <c r="Q45" s="61">
        <f>$F45</f>
        <v>0.009331373989713445</v>
      </c>
      <c r="R45" s="68">
        <f>$Q45</f>
        <v>0.009331373989713445</v>
      </c>
    </row>
    <row r="46" spans="1:18" ht="12">
      <c r="A46" t="s">
        <v>319</v>
      </c>
      <c r="B46" s="17">
        <f>'Financial Statements'!B49/'Financial Statements'!B42</f>
        <v>0.36971046770601335</v>
      </c>
      <c r="C46" s="17">
        <f>'Financial Statements'!C49/'Financial Statements'!C42</f>
        <v>0.3200287666307084</v>
      </c>
      <c r="D46" s="17">
        <f>'Financial Statements'!D49/'Financial Statements'!D42</f>
        <v>0.3282564851519577</v>
      </c>
      <c r="E46" s="17">
        <f>'Financial Statements'!E49/'Financial Statements'!E42</f>
        <v>0.32213370280568066</v>
      </c>
      <c r="F46" s="17">
        <f>'Financial Statements'!F49/'Financial Statements'!F42</f>
        <v>0.33651726671565024</v>
      </c>
      <c r="G46" s="61">
        <f>F46-($F46-$Q46)/11</f>
        <v>0.33651726671565024</v>
      </c>
      <c r="H46" s="61">
        <f>G46-($G46-$Q46)/10</f>
        <v>0.33651726671565024</v>
      </c>
      <c r="I46" s="61">
        <f>H46-($H46-$Q46)/9</f>
        <v>0.33651726671565024</v>
      </c>
      <c r="J46" s="61">
        <f>I46-($I46-$Q46)/8</f>
        <v>0.33651726671565024</v>
      </c>
      <c r="K46" s="61">
        <f>J46-($J46-$Q46)/7</f>
        <v>0.33651726671565024</v>
      </c>
      <c r="L46" s="61">
        <f>K46-($K46-$Q46)/6</f>
        <v>0.33651726671565024</v>
      </c>
      <c r="M46" s="61">
        <f>L46-($L46-$Q46)/5</f>
        <v>0.33651726671565024</v>
      </c>
      <c r="N46" s="61">
        <f>M46-($M46-$Q46)/4</f>
        <v>0.33651726671565024</v>
      </c>
      <c r="O46" s="61">
        <f>N46-($N46-$Q46)/3</f>
        <v>0.33651726671565024</v>
      </c>
      <c r="P46" s="61">
        <f>O46-($O46-$Q46)/2</f>
        <v>0.33651726671565024</v>
      </c>
      <c r="Q46" s="61">
        <f>$F46</f>
        <v>0.33651726671565024</v>
      </c>
      <c r="R46" s="68">
        <f>$Q46</f>
        <v>0.33651726671565024</v>
      </c>
    </row>
    <row r="47" spans="1:18" ht="12">
      <c r="A47" t="s">
        <v>217</v>
      </c>
      <c r="B47" s="17">
        <f>'Financial Statements'!B53/'Financial Statements'!B42</f>
        <v>0</v>
      </c>
      <c r="C47" s="17">
        <f>'Financial Statements'!C53/'Financial Statements'!C42</f>
        <v>0</v>
      </c>
      <c r="D47" s="17">
        <f>'Financial Statements'!D53/'Financial Statements'!D42</f>
        <v>0</v>
      </c>
      <c r="E47" s="17">
        <f>'Financial Statements'!E53/'Financial Statements'!E42</f>
        <v>0</v>
      </c>
      <c r="F47" s="17">
        <f>'Financial Statements'!F53/'Financial Statements'!F42</f>
        <v>0</v>
      </c>
      <c r="G47" s="61">
        <f>F47-($F47-$Q47)/11</f>
        <v>0</v>
      </c>
      <c r="H47" s="61">
        <f>G47-($G47-$Q47)/10</f>
        <v>0</v>
      </c>
      <c r="I47" s="61">
        <f>H47-($H47-$Q47)/9</f>
        <v>0</v>
      </c>
      <c r="J47" s="61">
        <f>I47-($I47-$Q47)/8</f>
        <v>0</v>
      </c>
      <c r="K47" s="61">
        <f>J47-($J47-$Q47)/7</f>
        <v>0</v>
      </c>
      <c r="L47" s="61">
        <f>K47-($K47-$Q47)/6</f>
        <v>0</v>
      </c>
      <c r="M47" s="61">
        <f>L47-($L47-$Q47)/5</f>
        <v>0</v>
      </c>
      <c r="N47" s="61">
        <f>M47-($M47-$Q47)/4</f>
        <v>0</v>
      </c>
      <c r="O47" s="61">
        <f>N47-($N47-$Q47)/3</f>
        <v>0</v>
      </c>
      <c r="P47" s="61">
        <f>O47-($O47-$Q47)/2</f>
        <v>0</v>
      </c>
      <c r="Q47" s="61">
        <f>$F47</f>
        <v>0</v>
      </c>
      <c r="R47" s="68">
        <f>$Q47</f>
        <v>0</v>
      </c>
    </row>
    <row r="48" spans="1:18" ht="12">
      <c r="A48" t="s">
        <v>400</v>
      </c>
      <c r="B48" s="17">
        <f>'Financial Statements'!B54/'Financial Statements'!B42</f>
        <v>0</v>
      </c>
      <c r="C48" s="17">
        <f>'Financial Statements'!C54/'Financial Statements'!C42</f>
        <v>0</v>
      </c>
      <c r="D48" s="17">
        <f>'Financial Statements'!D54/'Financial Statements'!D42</f>
        <v>0</v>
      </c>
      <c r="E48" s="17">
        <f>'Financial Statements'!E54/'Financial Statements'!E42</f>
        <v>0</v>
      </c>
      <c r="F48" s="17">
        <f>'Financial Statements'!F54/'Financial Statements'!F42</f>
        <v>0</v>
      </c>
      <c r="G48" s="61">
        <f>F48-($F48-$Q48)/11</f>
        <v>0</v>
      </c>
      <c r="H48" s="61">
        <f>G48-($G48-$Q48)/10</f>
        <v>0</v>
      </c>
      <c r="I48" s="61">
        <f>H48-($H48-$Q48)/9</f>
        <v>0</v>
      </c>
      <c r="J48" s="61">
        <f>I48-($I48-$Q48)/8</f>
        <v>0</v>
      </c>
      <c r="K48" s="61">
        <f>J48-($J48-$Q48)/7</f>
        <v>0</v>
      </c>
      <c r="L48" s="61">
        <f>K48-($K48-$Q48)/6</f>
        <v>0</v>
      </c>
      <c r="M48" s="61">
        <f>L48-($L48-$Q48)/5</f>
        <v>0</v>
      </c>
      <c r="N48" s="61">
        <f>M48-($M48-$Q48)/4</f>
        <v>0</v>
      </c>
      <c r="O48" s="61">
        <f>N48-($N48-$Q48)/3</f>
        <v>0</v>
      </c>
      <c r="P48" s="61">
        <f>O48-($O48-$Q48)/2</f>
        <v>0</v>
      </c>
      <c r="Q48" s="61">
        <f>$F48</f>
        <v>0</v>
      </c>
      <c r="R48" s="68">
        <f>$Q48</f>
        <v>0</v>
      </c>
    </row>
    <row r="49" spans="1:18" ht="12">
      <c r="A49" t="s">
        <v>401</v>
      </c>
      <c r="B49" s="17">
        <f>IF('Financial Statements'!B29=0,0,-'Financial Statements'!B64/'Financial Statements'!B29)</f>
        <v>0</v>
      </c>
      <c r="C49" s="17">
        <f>IF('Financial Statements'!C29=0,0,-'Financial Statements'!C64/'Financial Statements'!C29)</f>
        <v>0</v>
      </c>
      <c r="D49" s="17">
        <f>IF('Financial Statements'!D29=0,0,-'Financial Statements'!D64/'Financial Statements'!D29)</f>
        <v>0</v>
      </c>
      <c r="E49" s="17">
        <f>IF('Financial Statements'!E29=0,0,-'Financial Statements'!E64/'Financial Statements'!E29)</f>
        <v>0</v>
      </c>
      <c r="F49" s="17">
        <f>IF('Financial Statements'!F29=0,0,-'Financial Statements'!F64/'Financial Statements'!F29)</f>
        <v>0</v>
      </c>
      <c r="G49" s="61">
        <f>F49-($F49-$Q49)/11</f>
        <v>0</v>
      </c>
      <c r="H49" s="61">
        <f>G49-($G49-$Q49)/10</f>
        <v>0</v>
      </c>
      <c r="I49" s="61">
        <f>H49-($H49-$Q49)/9</f>
        <v>0</v>
      </c>
      <c r="J49" s="61">
        <f>I49-($I49-$Q49)/8</f>
        <v>0</v>
      </c>
      <c r="K49" s="61">
        <f>J49-($J49-$Q49)/7</f>
        <v>0</v>
      </c>
      <c r="L49" s="61">
        <f>K49-($K49-$Q49)/6</f>
        <v>0</v>
      </c>
      <c r="M49" s="61">
        <f>L49-($L49-$Q49)/5</f>
        <v>0</v>
      </c>
      <c r="N49" s="61">
        <f>M49-($M49-$Q49)/4</f>
        <v>0</v>
      </c>
      <c r="O49" s="61">
        <f>N49-($N49-$Q49)/3</f>
        <v>0</v>
      </c>
      <c r="P49" s="61">
        <f>O49-($O49-$Q49)/2</f>
        <v>0</v>
      </c>
      <c r="Q49" s="61">
        <f>$F49</f>
        <v>0</v>
      </c>
      <c r="R49" s="68">
        <f>$Q49</f>
        <v>0</v>
      </c>
    </row>
  </sheetData>
  <sheetProtection/>
  <mergeCells count="1">
    <mergeCell ref="K2:L2"/>
  </mergeCells>
  <printOptions/>
  <pageMargins left="0.75" right="0.75" top="1" bottom="1" header="0.5" footer="0.5"/>
  <pageSetup fitToHeight="1" fitToWidth="1" orientation="portrait"/>
  <ignoredErrors>
    <ignoredError sqref="G14:Q49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zoomScale="125" zoomScaleNormal="125" workbookViewId="0" topLeftCell="R1">
      <selection activeCell="AG9" sqref="AG9"/>
    </sheetView>
  </sheetViews>
  <sheetFormatPr defaultColWidth="8.8515625" defaultRowHeight="12.75"/>
  <cols>
    <col min="1" max="2" width="8.8515625" style="89" customWidth="1"/>
    <col min="3" max="3" width="9.8515625" style="89" customWidth="1"/>
    <col min="4" max="4" width="8.8515625" style="89" customWidth="1"/>
    <col min="5" max="5" width="9.28125" style="89" customWidth="1"/>
    <col min="6" max="9" width="8.8515625" style="89" customWidth="1"/>
    <col min="10" max="10" width="10.7109375" style="89" customWidth="1"/>
    <col min="11" max="16384" width="8.8515625" style="89" customWidth="1"/>
  </cols>
  <sheetData>
    <row r="1" spans="1:11" s="98" customFormat="1" ht="18" customHeight="1">
      <c r="A1" s="299" t="s">
        <v>7</v>
      </c>
      <c r="B1" s="300"/>
      <c r="C1" s="300"/>
      <c r="D1" s="300"/>
      <c r="E1" s="158"/>
      <c r="F1" s="158"/>
      <c r="G1" s="158"/>
      <c r="H1" s="158"/>
      <c r="I1" s="158"/>
      <c r="J1" s="158"/>
      <c r="K1" s="158"/>
    </row>
    <row r="2" spans="1:11" s="98" customFormat="1" ht="18" customHeight="1">
      <c r="A2" s="301"/>
      <c r="B2" s="302"/>
      <c r="C2" s="302"/>
      <c r="D2" s="166"/>
      <c r="E2" s="164"/>
      <c r="F2" s="164"/>
      <c r="G2" s="164"/>
      <c r="H2" s="164"/>
      <c r="I2" s="164"/>
      <c r="J2" s="164"/>
      <c r="K2" s="164"/>
    </row>
    <row r="3" spans="1:11" s="98" customFormat="1" ht="18" customHeight="1">
      <c r="A3" s="160"/>
      <c r="B3" s="195"/>
      <c r="C3" s="195"/>
      <c r="D3" s="94"/>
      <c r="E3" s="91"/>
      <c r="F3" s="91"/>
      <c r="G3" s="91"/>
      <c r="H3" s="91"/>
      <c r="I3" s="91"/>
      <c r="J3" s="91"/>
      <c r="K3" s="91"/>
    </row>
    <row r="4" spans="1:11" s="98" customFormat="1" ht="18" customHeight="1">
      <c r="A4" s="184" t="str">
        <f>"Estimated Price/Share="&amp;DOLLAR(B24)</f>
        <v>Estimated Price/Share=$83,704.27</v>
      </c>
      <c r="B4" s="185"/>
      <c r="C4" s="186"/>
      <c r="D4" s="91"/>
      <c r="E4" s="91"/>
      <c r="F4" s="91"/>
      <c r="G4" s="91"/>
      <c r="H4" s="91"/>
      <c r="I4" s="91"/>
      <c r="J4" s="91"/>
      <c r="K4" s="91"/>
    </row>
    <row r="5" spans="1:11" s="98" customFormat="1" ht="12">
      <c r="A5" s="99"/>
      <c r="B5" s="91"/>
      <c r="C5" s="92"/>
      <c r="D5" s="94"/>
      <c r="E5" s="91"/>
      <c r="F5" s="91"/>
      <c r="G5" s="91"/>
      <c r="H5" s="91"/>
      <c r="I5" s="91"/>
      <c r="J5" s="91"/>
      <c r="K5" s="91"/>
    </row>
    <row r="6" spans="1:11" s="98" customFormat="1" ht="12">
      <c r="A6" s="94" t="s">
        <v>395</v>
      </c>
      <c r="B6" s="91"/>
      <c r="C6" s="100" t="str">
        <f>'Financial Statements'!B4</f>
        <v>KOHL'S  </v>
      </c>
      <c r="D6" s="91"/>
      <c r="E6" s="91"/>
      <c r="F6" s="91"/>
      <c r="G6" s="91"/>
      <c r="H6" s="91"/>
      <c r="I6" s="91"/>
      <c r="J6" s="91"/>
      <c r="K6" s="91"/>
    </row>
    <row r="7" spans="1:11" ht="12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ht="12">
      <c r="A8" s="49" t="s">
        <v>59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ht="12">
      <c r="A9" s="90"/>
      <c r="B9" s="239" t="s">
        <v>39</v>
      </c>
      <c r="C9" s="245"/>
      <c r="D9" s="245"/>
      <c r="E9" s="240"/>
      <c r="F9" s="91"/>
      <c r="G9" s="240"/>
      <c r="H9" s="240"/>
      <c r="I9" s="240"/>
      <c r="J9" s="73">
        <v>0.1</v>
      </c>
      <c r="K9" s="50"/>
    </row>
    <row r="10" spans="1:11" ht="12">
      <c r="A10" s="90"/>
      <c r="B10" s="239" t="s">
        <v>40</v>
      </c>
      <c r="C10" s="50"/>
      <c r="D10" s="50"/>
      <c r="E10" s="246"/>
      <c r="F10" s="246"/>
      <c r="G10" s="246"/>
      <c r="H10" s="246"/>
      <c r="I10" s="246"/>
      <c r="J10" s="62">
        <v>0</v>
      </c>
      <c r="K10" s="50"/>
    </row>
    <row r="11" spans="1:11" ht="12">
      <c r="A11" s="90"/>
      <c r="B11" s="239" t="s">
        <v>163</v>
      </c>
      <c r="C11" s="50"/>
      <c r="D11" s="50"/>
      <c r="E11" s="246"/>
      <c r="F11" s="246"/>
      <c r="G11" s="246"/>
      <c r="H11" s="246"/>
      <c r="I11" s="246"/>
      <c r="J11" s="259">
        <f ca="1">TODAY()</f>
        <v>41079</v>
      </c>
      <c r="K11" s="50"/>
    </row>
    <row r="12" spans="1:11" ht="12">
      <c r="A12" s="90"/>
      <c r="B12" s="239" t="s">
        <v>263</v>
      </c>
      <c r="C12" s="50"/>
      <c r="D12" s="50"/>
      <c r="E12" s="246"/>
      <c r="F12" s="246"/>
      <c r="G12" s="246"/>
      <c r="H12" s="246"/>
      <c r="I12" s="246"/>
      <c r="J12" s="63">
        <v>1</v>
      </c>
      <c r="K12" s="50"/>
    </row>
    <row r="13" spans="1:11" ht="12">
      <c r="A13" s="50"/>
      <c r="B13" s="50"/>
      <c r="C13" s="50"/>
      <c r="D13" s="50"/>
      <c r="E13" s="246"/>
      <c r="F13" s="246"/>
      <c r="G13" s="246"/>
      <c r="H13" s="246"/>
      <c r="I13" s="246"/>
      <c r="J13" s="50"/>
      <c r="K13" s="50"/>
    </row>
    <row r="14" spans="1:11" ht="12">
      <c r="A14" s="297" t="s">
        <v>272</v>
      </c>
      <c r="B14" s="298"/>
      <c r="C14" s="298"/>
      <c r="D14" s="298"/>
      <c r="E14" s="298"/>
      <c r="F14" s="298"/>
      <c r="G14" s="298"/>
      <c r="H14" s="49"/>
      <c r="I14" s="49"/>
      <c r="J14" s="50"/>
      <c r="K14" s="50"/>
    </row>
    <row r="15" spans="1:11" ht="12">
      <c r="A15" s="49"/>
      <c r="B15" s="239" t="s">
        <v>54</v>
      </c>
      <c r="C15" s="49"/>
      <c r="D15" s="49"/>
      <c r="E15" s="49"/>
      <c r="F15" s="49"/>
      <c r="G15" s="49"/>
      <c r="H15" s="49"/>
      <c r="I15" s="49"/>
      <c r="J15" s="73">
        <v>0.08</v>
      </c>
      <c r="K15" s="50"/>
    </row>
    <row r="16" spans="1:11" ht="12">
      <c r="A16" s="49"/>
      <c r="B16" s="239" t="s">
        <v>405</v>
      </c>
      <c r="C16" s="49"/>
      <c r="D16" s="49"/>
      <c r="E16" s="49"/>
      <c r="F16" s="49"/>
      <c r="G16" s="49"/>
      <c r="H16" s="49"/>
      <c r="I16" s="49"/>
      <c r="J16" s="73">
        <v>0.09</v>
      </c>
      <c r="K16" s="50"/>
    </row>
    <row r="17" spans="1:11" ht="12">
      <c r="A17" s="49"/>
      <c r="B17" s="239" t="s">
        <v>143</v>
      </c>
      <c r="C17" s="49"/>
      <c r="D17" s="49"/>
      <c r="E17" s="49"/>
      <c r="F17" s="49"/>
      <c r="G17" s="49"/>
      <c r="H17" s="49"/>
      <c r="I17" s="49"/>
      <c r="J17" s="73">
        <v>0.1</v>
      </c>
      <c r="K17" s="50"/>
    </row>
    <row r="18" spans="1:11" ht="12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 ht="12">
      <c r="A19" s="50"/>
      <c r="B19" s="239" t="s">
        <v>299</v>
      </c>
      <c r="C19" s="50"/>
      <c r="D19" s="50"/>
      <c r="E19" s="50"/>
      <c r="F19" s="50"/>
      <c r="G19" s="50"/>
      <c r="H19" s="50"/>
      <c r="I19" s="50"/>
      <c r="J19" s="247">
        <v>0.09372</v>
      </c>
      <c r="K19" s="238" t="str">
        <f>IF(E24&gt;B24,"up","down")</f>
        <v>up</v>
      </c>
    </row>
    <row r="20" spans="1:11" ht="12">
      <c r="A20" s="50"/>
      <c r="B20" s="239" t="s">
        <v>209</v>
      </c>
      <c r="C20" s="50"/>
      <c r="D20" s="50"/>
      <c r="E20" s="50"/>
      <c r="F20" s="50"/>
      <c r="G20" s="50"/>
      <c r="H20" s="50"/>
      <c r="I20" s="50"/>
      <c r="J20" s="50"/>
      <c r="K20" s="50"/>
    </row>
    <row r="21" spans="1:11" ht="12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1:11" ht="12">
      <c r="A22" s="50"/>
      <c r="B22" s="50" t="s">
        <v>211</v>
      </c>
      <c r="C22" s="50"/>
      <c r="D22" s="50"/>
      <c r="E22" s="50" t="s">
        <v>213</v>
      </c>
      <c r="F22" s="50"/>
      <c r="G22" s="50"/>
      <c r="H22" s="50"/>
      <c r="I22" s="50" t="s">
        <v>98</v>
      </c>
      <c r="J22" s="50"/>
      <c r="K22" s="50"/>
    </row>
    <row r="23" spans="1:11" ht="12">
      <c r="A23" s="50"/>
      <c r="B23" s="50" t="s">
        <v>212</v>
      </c>
      <c r="C23" s="50"/>
      <c r="D23" s="50"/>
      <c r="E23" s="50" t="s">
        <v>191</v>
      </c>
      <c r="F23" s="50"/>
      <c r="G23" s="50"/>
      <c r="H23" s="50"/>
      <c r="I23" s="50" t="s">
        <v>298</v>
      </c>
      <c r="J23" s="50"/>
      <c r="K23" s="50"/>
    </row>
    <row r="24" spans="1:11" ht="12">
      <c r="A24" s="50"/>
      <c r="B24" s="243">
        <f>'Residual Income Valuations'!B27</f>
        <v>83704.27083698496</v>
      </c>
      <c r="C24" s="50"/>
      <c r="D24" s="50"/>
      <c r="E24" s="243">
        <f>'Residual Income Valuations'!B68</f>
        <v>91949.05712310637</v>
      </c>
      <c r="F24" s="50"/>
      <c r="G24" s="50"/>
      <c r="H24" s="50"/>
      <c r="I24" s="50"/>
      <c r="J24" s="244">
        <f>('Residual Income Valuations'!B21*J9+'Residual Income Valuations'!B40*(J15*(1-'Forecasting Assumptions'!Q21))+'Residual Income Valuations'!B46*J16+'Residual Income Valuations'!B52*J17)/('Residual Income Valuations'!B21+'Residual Income Valuations'!B40+'Residual Income Valuations'!B46+'Residual Income Valuations'!B52)</f>
        <v>0.10030014047389064</v>
      </c>
      <c r="K24" s="50"/>
    </row>
    <row r="27" ht="12">
      <c r="J27" s="242"/>
    </row>
  </sheetData>
  <sheetProtection/>
  <mergeCells count="3">
    <mergeCell ref="A14:G14"/>
    <mergeCell ref="A1:D1"/>
    <mergeCell ref="A2:C2"/>
  </mergeCells>
  <printOptions/>
  <pageMargins left="0.75" right="0.75" top="1" bottom="1" header="0.5" footer="0.5"/>
  <pageSetup orientation="portrait"/>
  <ignoredErrors>
    <ignoredError sqref="C6 J1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68"/>
  <sheetViews>
    <sheetView zoomScale="125" zoomScaleNormal="125" workbookViewId="0" topLeftCell="A1">
      <pane xSplit="1" ySplit="10" topLeftCell="B12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B1" sqref="B1"/>
    </sheetView>
  </sheetViews>
  <sheetFormatPr defaultColWidth="8.8515625" defaultRowHeight="12.75"/>
  <cols>
    <col min="1" max="1" width="36.7109375" style="0" customWidth="1"/>
    <col min="2" max="13" width="15.7109375" style="0" customWidth="1"/>
  </cols>
  <sheetData>
    <row r="1" spans="1:13" s="59" customFormat="1" ht="16.5">
      <c r="A1" s="170" t="s">
        <v>273</v>
      </c>
      <c r="B1" s="179" t="s">
        <v>286</v>
      </c>
      <c r="C1" s="187"/>
      <c r="D1" s="188"/>
      <c r="E1" s="181"/>
      <c r="F1" s="181"/>
      <c r="G1" s="189"/>
      <c r="H1" s="181"/>
      <c r="I1" s="181"/>
      <c r="J1" s="181"/>
      <c r="K1" s="181"/>
      <c r="L1" s="181"/>
      <c r="M1" s="181"/>
    </row>
    <row r="2" spans="1:13" ht="18" customHeight="1">
      <c r="A2" s="158"/>
      <c r="B2" s="158"/>
      <c r="C2" s="158"/>
      <c r="D2" s="158"/>
      <c r="E2" s="158"/>
      <c r="F2" s="158"/>
      <c r="G2" s="190"/>
      <c r="H2" s="158"/>
      <c r="I2" s="158"/>
      <c r="J2" s="158"/>
      <c r="K2" s="158"/>
      <c r="L2" s="158"/>
      <c r="M2" s="158"/>
    </row>
    <row r="3" spans="1:13" ht="18" customHeight="1">
      <c r="A3" s="164"/>
      <c r="B3" s="164"/>
      <c r="C3" s="164"/>
      <c r="D3" s="164"/>
      <c r="E3" s="164"/>
      <c r="F3" s="164"/>
      <c r="G3" s="191"/>
      <c r="H3" s="164"/>
      <c r="I3" s="164"/>
      <c r="J3" s="164"/>
      <c r="K3" s="164"/>
      <c r="L3" s="164"/>
      <c r="M3" s="164"/>
    </row>
    <row r="4" spans="1:13" s="7" customFormat="1" ht="12">
      <c r="A4" s="6" t="s">
        <v>310</v>
      </c>
      <c r="B4" s="13" t="str">
        <f>'Financial Statements'!B4</f>
        <v>KOHL'S  </v>
      </c>
      <c r="C4" s="6"/>
      <c r="D4" s="6"/>
      <c r="E4" s="9"/>
      <c r="F4" s="9"/>
      <c r="G4" s="9"/>
      <c r="H4" s="9"/>
      <c r="I4" s="26"/>
      <c r="J4" s="9"/>
      <c r="K4" s="9"/>
      <c r="L4" s="9"/>
      <c r="M4" s="9"/>
    </row>
    <row r="5" spans="1:2" ht="12">
      <c r="A5" s="25" t="s">
        <v>221</v>
      </c>
      <c r="B5" s="19">
        <f>'Financial Statements'!F8</f>
        <v>40908</v>
      </c>
    </row>
    <row r="6" spans="1:2" ht="12">
      <c r="A6" s="25" t="s">
        <v>308</v>
      </c>
      <c r="B6" s="19">
        <f>'Valuation Parameters'!J11</f>
        <v>41079</v>
      </c>
    </row>
    <row r="7" spans="1:2" ht="12">
      <c r="A7" t="s">
        <v>429</v>
      </c>
      <c r="B7" s="44">
        <f>'Valuation Parameters'!J9</f>
        <v>0.1</v>
      </c>
    </row>
    <row r="8" spans="1:2" ht="12">
      <c r="A8" t="s">
        <v>339</v>
      </c>
      <c r="B8" s="44">
        <f>'Forecasting Assumptions'!Q14</f>
        <v>0.03</v>
      </c>
    </row>
    <row r="10" spans="1:13" ht="12.75" thickBot="1">
      <c r="A10" s="10" t="s">
        <v>407</v>
      </c>
      <c r="B10" s="255">
        <f>'Financial Statements'!G8</f>
        <v>41274</v>
      </c>
      <c r="C10" s="255">
        <f>'Financial Statements'!H8</f>
        <v>41639</v>
      </c>
      <c r="D10" s="255">
        <f>'Financial Statements'!I8</f>
        <v>42004</v>
      </c>
      <c r="E10" s="255">
        <f>'Financial Statements'!J8</f>
        <v>42369</v>
      </c>
      <c r="F10" s="255">
        <f>'Financial Statements'!K8</f>
        <v>42735</v>
      </c>
      <c r="G10" s="255">
        <f>'Financial Statements'!L8</f>
        <v>43100</v>
      </c>
      <c r="H10" s="255">
        <f>'Financial Statements'!M8</f>
        <v>43465</v>
      </c>
      <c r="I10" s="255">
        <f>'Financial Statements'!N8</f>
        <v>43830</v>
      </c>
      <c r="J10" s="255">
        <f>'Financial Statements'!O8</f>
        <v>44196</v>
      </c>
      <c r="K10" s="255">
        <f>'Financial Statements'!P8</f>
        <v>44561</v>
      </c>
      <c r="L10" s="255">
        <f>'Financial Statements'!Q8</f>
        <v>44926</v>
      </c>
      <c r="M10" s="255">
        <f>'Financial Statements'!R8</f>
        <v>45291</v>
      </c>
    </row>
    <row r="11" spans="1:13" ht="18" customHeight="1" hidden="1">
      <c r="A11" s="5">
        <f>B21+B40+B46-B58</f>
        <v>-53655642.88298917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ht="12">
      <c r="A12" s="76" t="s">
        <v>122</v>
      </c>
    </row>
    <row r="13" spans="1:13" ht="12">
      <c r="A13" t="s">
        <v>152</v>
      </c>
      <c r="B13" s="4">
        <f>'Financial Statements'!G29</f>
        <v>39987275.5589974</v>
      </c>
      <c r="C13" s="4">
        <f>'Financial Statements'!H29</f>
        <v>40513830.65353651</v>
      </c>
      <c r="D13" s="4">
        <f>'Financial Statements'!I29</f>
        <v>41122958.29091566</v>
      </c>
      <c r="E13" s="4">
        <f>'Financial Statements'!J29</f>
        <v>41818020.25170161</v>
      </c>
      <c r="F13" s="4">
        <f>'Financial Statements'!K29</f>
        <v>42602903.8992687</v>
      </c>
      <c r="G13" s="4">
        <f>'Financial Statements'!L29</f>
        <v>43482058.131247886</v>
      </c>
      <c r="H13" s="4">
        <f>'Financial Statements'!M29</f>
        <v>44460535.046266995</v>
      </c>
      <c r="I13" s="4">
        <f>'Financial Statements'!N29</f>
        <v>45544037.8679884</v>
      </c>
      <c r="J13" s="4">
        <f>'Financial Statements'!O29</f>
        <v>46738975.7573622</v>
      </c>
      <c r="K13" s="4">
        <f>'Financial Statements'!P29</f>
        <v>48052526.24352086</v>
      </c>
      <c r="L13" s="4">
        <f>'Financial Statements'!Q29</f>
        <v>49492706.11565374</v>
      </c>
      <c r="M13" s="4">
        <f>'Financial Statements'!R29</f>
        <v>50977487.29912336</v>
      </c>
    </row>
    <row r="14" spans="1:13" ht="12">
      <c r="A14" t="s">
        <v>435</v>
      </c>
      <c r="B14" s="4">
        <f>'Financial Statements'!F57</f>
        <v>17820000</v>
      </c>
      <c r="C14" s="4">
        <f>'Financial Statements'!G57</f>
        <v>5555239.297390306</v>
      </c>
      <c r="D14" s="4">
        <f>'Financial Statements'!H57</f>
        <v>5628555.073835934</v>
      </c>
      <c r="E14" s="4">
        <f>'Financial Statements'!I57</f>
        <v>5713346.584598366</v>
      </c>
      <c r="F14" s="4">
        <f>'Financial Statements'!J57</f>
        <v>5810081.88209039</v>
      </c>
      <c r="G14" s="4">
        <f>'Financial Statements'!K57</f>
        <v>5919302.090685463</v>
      </c>
      <c r="H14" s="4">
        <f>'Financial Statements'!L57</f>
        <v>6041626.412066247</v>
      </c>
      <c r="I14" s="4">
        <f>'Financial Statements'!M57</f>
        <v>6177757.925457714</v>
      </c>
      <c r="J14" s="4">
        <f>'Financial Statements'!N57</f>
        <v>6328490.258207336</v>
      </c>
      <c r="K14" s="4">
        <f>'Financial Statements'!O57</f>
        <v>6494715.214544939</v>
      </c>
      <c r="L14" s="4">
        <f>'Financial Statements'!P57</f>
        <v>6677431.464199904</v>
      </c>
      <c r="M14" s="4">
        <f>'Financial Statements'!Q57</f>
        <v>6877754.4081259</v>
      </c>
    </row>
    <row r="15" spans="1:13" ht="12">
      <c r="A15" s="78" t="s">
        <v>123</v>
      </c>
      <c r="B15" s="4">
        <f>B13-B7*B14</f>
        <v>38205275.5589974</v>
      </c>
      <c r="C15" s="4">
        <f>C13-B7*C14</f>
        <v>39958306.723797485</v>
      </c>
      <c r="D15" s="4">
        <f>D13-B7*D14</f>
        <v>40560102.78353207</v>
      </c>
      <c r="E15" s="4">
        <f>E13-B7*E14</f>
        <v>41246685.59324177</v>
      </c>
      <c r="F15" s="4">
        <f>F13-B7*F14</f>
        <v>42021895.71105966</v>
      </c>
      <c r="G15" s="4">
        <f>G13-B7*G14</f>
        <v>42890127.92217934</v>
      </c>
      <c r="H15" s="4">
        <f>H13-B7*H14</f>
        <v>43856372.40506037</v>
      </c>
      <c r="I15" s="4">
        <f>I13-B7*I14</f>
        <v>44926262.07544263</v>
      </c>
      <c r="J15" s="4">
        <f>J13-$B$7*J14</f>
        <v>46106126.73154147</v>
      </c>
      <c r="K15" s="4">
        <f>K13-$B$7*K14</f>
        <v>47403054.72206637</v>
      </c>
      <c r="L15" s="4">
        <f>L13-$B$7*L14</f>
        <v>48824962.96923375</v>
      </c>
      <c r="M15" s="4">
        <f>M13-$B$7*M14</f>
        <v>50289711.858310774</v>
      </c>
    </row>
    <row r="16" spans="1:13" ht="12">
      <c r="A16" s="78" t="s">
        <v>294</v>
      </c>
      <c r="B16" s="4">
        <f>B15/(1+$B$7)^1</f>
        <v>34732068.689997636</v>
      </c>
      <c r="C16" s="4">
        <f>C15/(1+$B$7)^2</f>
        <v>33023393.986609485</v>
      </c>
      <c r="D16" s="4">
        <f>D15/(1+$B$7)^3</f>
        <v>30473405.547356915</v>
      </c>
      <c r="E16" s="4">
        <f>E15/(1+$B$7)^4</f>
        <v>28172041.249396738</v>
      </c>
      <c r="F16" s="4">
        <f>F15/(1+$B$7)^5</f>
        <v>26092291.082364995</v>
      </c>
      <c r="G16" s="4">
        <f>G15/(1+$B$7)^6</f>
        <v>24210359.068741817</v>
      </c>
      <c r="H16" s="4">
        <f>H15/(1+$B$7)^7</f>
        <v>22505253.535805862</v>
      </c>
      <c r="I16" s="4">
        <f>I15/(1+$B$7)^8</f>
        <v>20958432.82343063</v>
      </c>
      <c r="J16" s="4">
        <f>J15/(1+$B$7)^9</f>
        <v>19553498.53922669</v>
      </c>
      <c r="K16" s="4">
        <f>K15/(1+$B$7)^10</f>
        <v>18275929.646553554</v>
      </c>
      <c r="L16" s="4">
        <f>L15/(1+$B$7)^11</f>
        <v>17112851.66312131</v>
      </c>
      <c r="M16" s="4">
        <f>M15/(1+$B$7)^12</f>
        <v>16023852.011831777</v>
      </c>
    </row>
    <row r="17" spans="1:3" ht="12">
      <c r="A17" s="218" t="s">
        <v>338</v>
      </c>
      <c r="B17" s="4">
        <f>L16+(M15/($B$7-$B$8))/(1+$B$7)^11</f>
        <v>268916240.42047775</v>
      </c>
      <c r="C17" s="79" t="str">
        <f>IF(($B$7-$B$8)&lt;=0,"Error! cost of equity capital &lt;= growth rate"," ")</f>
        <v> </v>
      </c>
    </row>
    <row r="18" spans="1:2" ht="12">
      <c r="A18" s="218" t="s">
        <v>337</v>
      </c>
      <c r="B18" s="4">
        <f>SUM(B16:K16)</f>
        <v>257996674.16948432</v>
      </c>
    </row>
    <row r="19" ht="12">
      <c r="A19" s="3" t="s">
        <v>170</v>
      </c>
    </row>
    <row r="20" spans="1:2" ht="12">
      <c r="A20" s="20">
        <f>'Financial Statements'!F8</f>
        <v>40908</v>
      </c>
      <c r="B20" s="4">
        <f>B14</f>
        <v>17820000</v>
      </c>
    </row>
    <row r="21" spans="1:2" ht="12">
      <c r="A21" s="18" t="s">
        <v>89</v>
      </c>
      <c r="B21" s="4">
        <f>B17+B18+B20</f>
        <v>544732914.589962</v>
      </c>
    </row>
    <row r="22" spans="1:2" ht="12">
      <c r="A22" s="78" t="s">
        <v>46</v>
      </c>
      <c r="B22" s="4">
        <f>B21*(1+(B7/2))*(1+B7*(DAYS360(B5,B6)/360))</f>
        <v>598820353.5677904</v>
      </c>
    </row>
    <row r="23" spans="1:2" ht="12">
      <c r="A23" s="78" t="s">
        <v>47</v>
      </c>
      <c r="B23" s="4">
        <f>-'Valuation Parameters'!J10</f>
        <v>0</v>
      </c>
    </row>
    <row r="24" spans="1:2" ht="12">
      <c r="A24" t="s">
        <v>256</v>
      </c>
      <c r="B24" s="4">
        <f>B22+B23</f>
        <v>598820353.5677904</v>
      </c>
    </row>
    <row r="25" spans="1:2" ht="12">
      <c r="A25" t="s">
        <v>205</v>
      </c>
      <c r="B25" s="4">
        <f>'Financial Statements'!B5</f>
        <v>7154</v>
      </c>
    </row>
    <row r="26" spans="1:2" ht="12.75" thickBot="1">
      <c r="A26" t="s">
        <v>206</v>
      </c>
      <c r="B26" s="4">
        <f>B25*'Valuation Parameters'!J12</f>
        <v>7154</v>
      </c>
    </row>
    <row r="27" spans="1:2" ht="12.75" thickBot="1">
      <c r="A27" t="s">
        <v>90</v>
      </c>
      <c r="B27" s="148">
        <f>B24/B26</f>
        <v>83704.27083698496</v>
      </c>
    </row>
    <row r="29" ht="18" customHeight="1" hidden="1"/>
    <row r="30" ht="12">
      <c r="A30" s="76" t="s">
        <v>52</v>
      </c>
    </row>
    <row r="31" spans="1:2" ht="12">
      <c r="A31" s="25" t="s">
        <v>177</v>
      </c>
      <c r="B31" s="41">
        <f>'Valuation Parameters'!J15</f>
        <v>0.08</v>
      </c>
    </row>
    <row r="32" spans="1:6" ht="12">
      <c r="A32" s="25" t="s">
        <v>178</v>
      </c>
      <c r="B32" s="41">
        <f>'Valuation Parameters'!J16</f>
        <v>0.09</v>
      </c>
      <c r="F32" s="74"/>
    </row>
    <row r="33" spans="1:6" ht="12">
      <c r="A33" s="25" t="s">
        <v>144</v>
      </c>
      <c r="B33" s="41">
        <f>'Valuation Parameters'!J17</f>
        <v>0.1</v>
      </c>
      <c r="F33" s="74"/>
    </row>
    <row r="34" spans="1:3" ht="12">
      <c r="A34" s="78" t="s">
        <v>32</v>
      </c>
      <c r="B34" s="241">
        <f>'Valuation Parameters'!J19</f>
        <v>0.09372</v>
      </c>
      <c r="C34" s="79"/>
    </row>
    <row r="35" spans="1:2" ht="12">
      <c r="A35" s="25"/>
      <c r="B35" s="41"/>
    </row>
    <row r="36" spans="1:13" ht="12">
      <c r="A36" t="s">
        <v>58</v>
      </c>
      <c r="B36" s="4">
        <f>-'Financial Statements'!G20</f>
        <v>-332011.6921094206</v>
      </c>
      <c r="C36" s="4">
        <f>-'Financial Statements'!H20</f>
        <v>-336085.2705527221</v>
      </c>
      <c r="D36" s="4">
        <f>-'Financial Statements'!I20</f>
        <v>-340836.56770947156</v>
      </c>
      <c r="E36" s="4">
        <f>-'Financial Statements'!J20</f>
        <v>-346291.64712524967</v>
      </c>
      <c r="F36" s="4">
        <f>-'Financial Statements'!K20</f>
        <v>-352480.8356678422</v>
      </c>
      <c r="G36" s="4">
        <f>-'Financial Statements'!L20</f>
        <v>-359439.0024061499</v>
      </c>
      <c r="H36" s="4">
        <f>-'Financial Statements'!M20</f>
        <v>-367205.88332975155</v>
      </c>
      <c r="I36" s="4">
        <f>-'Financial Statements'!N20</f>
        <v>-375826.4561105038</v>
      </c>
      <c r="J36" s="4">
        <f>-'Financial Statements'!O20</f>
        <v>-385351.36981337063</v>
      </c>
      <c r="K36" s="4">
        <f>-'Financial Statements'!P20</f>
        <v>-395837.435251477</v>
      </c>
      <c r="L36" s="4">
        <f>-'Financial Statements'!Q20</f>
        <v>-407348.182564407</v>
      </c>
      <c r="M36" s="4">
        <f>-'Financial Statements'!R20</f>
        <v>-419568.6280413392</v>
      </c>
    </row>
    <row r="37" spans="1:13" ht="12">
      <c r="A37" t="s">
        <v>355</v>
      </c>
      <c r="B37" s="4">
        <f>'Financial Statements'!F44+'Financial Statements'!F49</f>
        <v>4707000</v>
      </c>
      <c r="C37" s="4">
        <f>'Financial Statements'!G44+'Financial Statements'!G49</f>
        <v>4760333.401204472</v>
      </c>
      <c r="D37" s="4">
        <f>'Financial Statements'!H44+'Financial Statements'!H49</f>
        <v>4823158.334707034</v>
      </c>
      <c r="E37" s="4">
        <f>'Financial Statements'!I44+'Financial Statements'!I49</f>
        <v>4895816.925851905</v>
      </c>
      <c r="F37" s="4">
        <f>'Financial Statements'!J44+'Financial Statements'!J49</f>
        <v>4978710.252867187</v>
      </c>
      <c r="G37" s="4">
        <f>'Financial Statements'!K44+'Financial Statements'!K49</f>
        <v>5072302.009986615</v>
      </c>
      <c r="H37" s="4">
        <f>'Financial Statements'!L44+'Financial Statements'!L49</f>
        <v>5177122.796576702</v>
      </c>
      <c r="I37" s="4">
        <f>'Financial Statements'!M44+'Financial Statements'!M49</f>
        <v>5293775.087407511</v>
      </c>
      <c r="J37" s="4">
        <f>'Financial Statements'!N44+'Financial Statements'!N49</f>
        <v>5422938.948731465</v>
      </c>
      <c r="K37" s="4">
        <f>'Financial Statements'!O44+'Financial Statements'!O49</f>
        <v>5565378.575434739</v>
      </c>
      <c r="L37" s="4">
        <f>'Financial Statements'!P44+'Financial Statements'!P49</f>
        <v>5721949.736389757</v>
      </c>
      <c r="M37" s="4">
        <f>'Financial Statements'!Q44+'Financial Statements'!Q49</f>
        <v>5893608.228481451</v>
      </c>
    </row>
    <row r="38" spans="1:13" ht="12">
      <c r="A38" t="s">
        <v>269</v>
      </c>
      <c r="B38" s="4">
        <f>B36-($B$31*B37)</f>
        <v>-708571.6921094207</v>
      </c>
      <c r="C38" s="4">
        <f aca="true" t="shared" si="0" ref="C38:L38">C36-($B$31*C37)</f>
        <v>-716911.94264908</v>
      </c>
      <c r="D38" s="4">
        <f t="shared" si="0"/>
        <v>-726689.2344860343</v>
      </c>
      <c r="E38" s="4">
        <f t="shared" si="0"/>
        <v>-737957.0011934021</v>
      </c>
      <c r="F38" s="4">
        <f t="shared" si="0"/>
        <v>-750777.6558972171</v>
      </c>
      <c r="G38" s="4">
        <f t="shared" si="0"/>
        <v>-765223.163205079</v>
      </c>
      <c r="H38" s="4">
        <f t="shared" si="0"/>
        <v>-781375.7070558877</v>
      </c>
      <c r="I38" s="4">
        <f t="shared" si="0"/>
        <v>-799328.4631031046</v>
      </c>
      <c r="J38" s="4">
        <f t="shared" si="0"/>
        <v>-819186.485711888</v>
      </c>
      <c r="K38" s="4">
        <f t="shared" si="0"/>
        <v>-841067.7212862561</v>
      </c>
      <c r="L38" s="4">
        <f t="shared" si="0"/>
        <v>-865104.1614755876</v>
      </c>
      <c r="M38" s="4">
        <f>M36-($B$31*M37)</f>
        <v>-891057.2863198554</v>
      </c>
    </row>
    <row r="39" spans="1:13" ht="12">
      <c r="A39" t="s">
        <v>268</v>
      </c>
      <c r="B39" s="4">
        <f>B38/(1+$B$31)^1</f>
        <v>-656084.9001013153</v>
      </c>
      <c r="C39" s="4">
        <f>C38/(1+$B$31)^2</f>
        <v>-614636.4391710218</v>
      </c>
      <c r="D39" s="4">
        <f>D38/(1+$B$31)^3</f>
        <v>-576869.3435372801</v>
      </c>
      <c r="E39" s="4">
        <f>E38/(1+$B$31)^4</f>
        <v>-542420.4259572984</v>
      </c>
      <c r="F39" s="4">
        <f>F38/(1+$B$31)^5</f>
        <v>-510966.6573120349</v>
      </c>
      <c r="G39" s="4">
        <f>G38/(1+$B$31)^6</f>
        <v>-482220.3952392537</v>
      </c>
      <c r="H39" s="4">
        <f>H38/(1+$B$31)^7</f>
        <v>-455925.2201582692</v>
      </c>
      <c r="I39" s="4">
        <f>I38/(1+$B$31)^8</f>
        <v>-431852.297111393</v>
      </c>
      <c r="J39" s="4">
        <f>J38/(1+$B$31)^9</f>
        <v>-409797.19336542167</v>
      </c>
      <c r="K39" s="4">
        <f>K38/(1+$B$31)^10</f>
        <v>-389577.091538018</v>
      </c>
      <c r="L39" s="4">
        <f>L38/(1+$B$31)^11</f>
        <v>-371028.34639856796</v>
      </c>
      <c r="M39" s="4">
        <f>M38/(1+$B$31)^12</f>
        <v>-353851.108139375</v>
      </c>
    </row>
    <row r="40" spans="1:3" ht="12">
      <c r="A40" s="18" t="s">
        <v>180</v>
      </c>
      <c r="B40" s="4">
        <f>IF($B$31-$B$8&gt;0,B37+SUM(B39:L39)+(M38/($B$31-$B$8))/(1+$B$31)^11,IF(NOT(M38=0),#N/A,B37+SUM(B39:M39)))</f>
        <v>-8377562.245700372</v>
      </c>
      <c r="C40" s="79" t="str">
        <f>IF($B$31-$B$8&gt;0," ",IF(NOT(M38=0),"Error! cost of debt &lt;= growth rate"," "))</f>
        <v> </v>
      </c>
    </row>
    <row r="41" spans="1:2" ht="12">
      <c r="A41" s="18"/>
      <c r="B41" s="4"/>
    </row>
    <row r="42" spans="1:13" ht="12">
      <c r="A42" t="s">
        <v>173</v>
      </c>
      <c r="B42" s="4">
        <f>'Financial Statements'!G28</f>
        <v>0</v>
      </c>
      <c r="C42" s="4">
        <f>'Financial Statements'!H28</f>
        <v>0</v>
      </c>
      <c r="D42" s="4">
        <f>'Financial Statements'!I28</f>
        <v>0</v>
      </c>
      <c r="E42" s="4">
        <f>'Financial Statements'!J28</f>
        <v>0</v>
      </c>
      <c r="F42" s="4">
        <f>'Financial Statements'!K28</f>
        <v>0</v>
      </c>
      <c r="G42" s="4">
        <f>'Financial Statements'!L28</f>
        <v>0</v>
      </c>
      <c r="H42" s="4">
        <f>'Financial Statements'!M28</f>
        <v>0</v>
      </c>
      <c r="I42" s="4">
        <f>'Financial Statements'!N28</f>
        <v>0</v>
      </c>
      <c r="J42" s="4">
        <f>'Financial Statements'!O28</f>
        <v>0</v>
      </c>
      <c r="K42" s="4">
        <f>'Financial Statements'!P28</f>
        <v>0</v>
      </c>
      <c r="L42" s="4">
        <f>'Financial Statements'!Q28</f>
        <v>0</v>
      </c>
      <c r="M42" s="4">
        <f>'Financial Statements'!R28</f>
        <v>0</v>
      </c>
    </row>
    <row r="43" spans="1:13" ht="12">
      <c r="A43" t="s">
        <v>397</v>
      </c>
      <c r="B43" s="4">
        <f>'Financial Statements'!F54</f>
        <v>0</v>
      </c>
      <c r="C43" s="4">
        <f>'Financial Statements'!G54</f>
        <v>0</v>
      </c>
      <c r="D43" s="4">
        <f>'Financial Statements'!H54</f>
        <v>0</v>
      </c>
      <c r="E43" s="4">
        <f>'Financial Statements'!I54</f>
        <v>0</v>
      </c>
      <c r="F43" s="4">
        <f>'Financial Statements'!J54</f>
        <v>0</v>
      </c>
      <c r="G43" s="4">
        <f>'Financial Statements'!K54</f>
        <v>0</v>
      </c>
      <c r="H43" s="4">
        <f>'Financial Statements'!L54</f>
        <v>0</v>
      </c>
      <c r="I43" s="4">
        <f>'Financial Statements'!M54</f>
        <v>0</v>
      </c>
      <c r="J43" s="4">
        <f>'Financial Statements'!N54</f>
        <v>0</v>
      </c>
      <c r="K43" s="4">
        <f>'Financial Statements'!O54</f>
        <v>0</v>
      </c>
      <c r="L43" s="4">
        <f>'Financial Statements'!P54</f>
        <v>0</v>
      </c>
      <c r="M43" s="4">
        <f>'Financial Statements'!Q54</f>
        <v>0</v>
      </c>
    </row>
    <row r="44" spans="1:13" ht="12">
      <c r="A44" t="s">
        <v>364</v>
      </c>
      <c r="B44" s="4">
        <f aca="true" t="shared" si="1" ref="B44:M44">B42-($B$32*B43)</f>
        <v>0</v>
      </c>
      <c r="C44" s="4">
        <f t="shared" si="1"/>
        <v>0</v>
      </c>
      <c r="D44" s="4">
        <f t="shared" si="1"/>
        <v>0</v>
      </c>
      <c r="E44" s="4">
        <f t="shared" si="1"/>
        <v>0</v>
      </c>
      <c r="F44" s="4">
        <f t="shared" si="1"/>
        <v>0</v>
      </c>
      <c r="G44" s="4">
        <f t="shared" si="1"/>
        <v>0</v>
      </c>
      <c r="H44" s="4">
        <f t="shared" si="1"/>
        <v>0</v>
      </c>
      <c r="I44" s="4">
        <f t="shared" si="1"/>
        <v>0</v>
      </c>
      <c r="J44" s="4">
        <f t="shared" si="1"/>
        <v>0</v>
      </c>
      <c r="K44" s="4">
        <f t="shared" si="1"/>
        <v>0</v>
      </c>
      <c r="L44" s="4">
        <f t="shared" si="1"/>
        <v>0</v>
      </c>
      <c r="M44" s="4">
        <f t="shared" si="1"/>
        <v>0</v>
      </c>
    </row>
    <row r="45" spans="1:13" ht="12">
      <c r="A45" t="s">
        <v>228</v>
      </c>
      <c r="B45" s="4">
        <f>B44/(1+$B$32)^1</f>
        <v>0</v>
      </c>
      <c r="C45" s="4">
        <f>C44/(1+$B$32)^2</f>
        <v>0</v>
      </c>
      <c r="D45" s="4">
        <f>D44/(1+$B$32)^3</f>
        <v>0</v>
      </c>
      <c r="E45" s="4">
        <f>E44/(1+$B$32)^4</f>
        <v>0</v>
      </c>
      <c r="F45" s="4">
        <f>F44/(1+$B$32)^5</f>
        <v>0</v>
      </c>
      <c r="G45" s="4">
        <f>G44/(1+$B$32)^6</f>
        <v>0</v>
      </c>
      <c r="H45" s="4">
        <f>H44/(1+$B$32)^7</f>
        <v>0</v>
      </c>
      <c r="I45" s="4">
        <f>I44/(1+$B$32)^8</f>
        <v>0</v>
      </c>
      <c r="J45" s="4">
        <f>J44/(1+$B$32)^9</f>
        <v>0</v>
      </c>
      <c r="K45" s="4">
        <f>K44/(1+$B$32)^10</f>
        <v>0</v>
      </c>
      <c r="L45" s="4">
        <f>L44/(1+$B$32)^11</f>
        <v>0</v>
      </c>
      <c r="M45" s="4">
        <f>M44/(1+$B$32)^12</f>
        <v>0</v>
      </c>
    </row>
    <row r="46" spans="1:3" ht="12">
      <c r="A46" s="18" t="s">
        <v>336</v>
      </c>
      <c r="B46" s="4">
        <f>IF($B$32-$B$8&gt;0,B43+SUM(B45:L45)+(M44/($B$32-$B$8))/(1+$B$32)^11,IF(NOT(M44=0),#N/A,B43+SUM(B45:M45)))</f>
        <v>0</v>
      </c>
      <c r="C46" s="79" t="str">
        <f>IF($B$32-$B$8&gt;0," ",IF(NOT(M44=0),"Error! cost of preferred stock &lt;= growth rate"," "))</f>
        <v> </v>
      </c>
    </row>
    <row r="47" spans="1:3" ht="12">
      <c r="A47" s="18"/>
      <c r="B47" s="4"/>
      <c r="C47" s="79"/>
    </row>
    <row r="48" spans="1:13" ht="12">
      <c r="A48" t="s">
        <v>321</v>
      </c>
      <c r="B48" s="4">
        <f>-'Financial Statements'!G27</f>
        <v>0</v>
      </c>
      <c r="C48" s="4">
        <f>-'Financial Statements'!H27</f>
        <v>0</v>
      </c>
      <c r="D48" s="4">
        <f>-'Financial Statements'!I27</f>
        <v>0</v>
      </c>
      <c r="E48" s="4">
        <f>-'Financial Statements'!J27</f>
        <v>0</v>
      </c>
      <c r="F48" s="4">
        <f>-'Financial Statements'!K27</f>
        <v>0</v>
      </c>
      <c r="G48" s="4">
        <f>-'Financial Statements'!L27</f>
        <v>0</v>
      </c>
      <c r="H48" s="4">
        <f>-'Financial Statements'!M27</f>
        <v>0</v>
      </c>
      <c r="I48" s="4">
        <f>-'Financial Statements'!N27</f>
        <v>0</v>
      </c>
      <c r="J48" s="4">
        <f>-'Financial Statements'!O27</f>
        <v>0</v>
      </c>
      <c r="K48" s="4">
        <f>-'Financial Statements'!P27</f>
        <v>0</v>
      </c>
      <c r="L48" s="4">
        <f>-'Financial Statements'!Q27</f>
        <v>0</v>
      </c>
      <c r="M48" s="4">
        <f>-'Financial Statements'!R27</f>
        <v>0</v>
      </c>
    </row>
    <row r="49" spans="1:13" ht="12">
      <c r="A49" t="s">
        <v>145</v>
      </c>
      <c r="B49" s="4">
        <f>'Financial Statements'!F53</f>
        <v>0</v>
      </c>
      <c r="C49" s="4">
        <f>'Financial Statements'!G53</f>
        <v>0</v>
      </c>
      <c r="D49" s="4">
        <f>'Financial Statements'!H53</f>
        <v>0</v>
      </c>
      <c r="E49" s="4">
        <f>'Financial Statements'!I53</f>
        <v>0</v>
      </c>
      <c r="F49" s="4">
        <f>'Financial Statements'!J53</f>
        <v>0</v>
      </c>
      <c r="G49" s="4">
        <f>'Financial Statements'!K53</f>
        <v>0</v>
      </c>
      <c r="H49" s="4">
        <f>'Financial Statements'!L53</f>
        <v>0</v>
      </c>
      <c r="I49" s="4">
        <f>'Financial Statements'!M53</f>
        <v>0</v>
      </c>
      <c r="J49" s="4">
        <f>'Financial Statements'!N53</f>
        <v>0</v>
      </c>
      <c r="K49" s="4">
        <f>'Financial Statements'!O53</f>
        <v>0</v>
      </c>
      <c r="L49" s="4">
        <f>'Financial Statements'!P53</f>
        <v>0</v>
      </c>
      <c r="M49" s="4">
        <f>'Financial Statements'!Q53</f>
        <v>0</v>
      </c>
    </row>
    <row r="50" spans="1:13" ht="12">
      <c r="A50" t="s">
        <v>146</v>
      </c>
      <c r="B50" s="4">
        <f>B48-$B$33*B49</f>
        <v>0</v>
      </c>
      <c r="C50" s="4">
        <f aca="true" t="shared" si="2" ref="C50:M50">C48-$B$33*C49</f>
        <v>0</v>
      </c>
      <c r="D50" s="4">
        <f t="shared" si="2"/>
        <v>0</v>
      </c>
      <c r="E50" s="4">
        <f t="shared" si="2"/>
        <v>0</v>
      </c>
      <c r="F50" s="4">
        <f t="shared" si="2"/>
        <v>0</v>
      </c>
      <c r="G50" s="4">
        <f t="shared" si="2"/>
        <v>0</v>
      </c>
      <c r="H50" s="4">
        <f t="shared" si="2"/>
        <v>0</v>
      </c>
      <c r="I50" s="4">
        <f t="shared" si="2"/>
        <v>0</v>
      </c>
      <c r="J50" s="4">
        <f t="shared" si="2"/>
        <v>0</v>
      </c>
      <c r="K50" s="4">
        <f t="shared" si="2"/>
        <v>0</v>
      </c>
      <c r="L50" s="4">
        <f t="shared" si="2"/>
        <v>0</v>
      </c>
      <c r="M50" s="4">
        <f t="shared" si="2"/>
        <v>0</v>
      </c>
    </row>
    <row r="51" spans="1:13" ht="12">
      <c r="A51" t="s">
        <v>147</v>
      </c>
      <c r="B51" s="4">
        <f>B50/(1+$B$33)^1</f>
        <v>0</v>
      </c>
      <c r="C51" s="4">
        <f>C50/(1+$B$33)^2</f>
        <v>0</v>
      </c>
      <c r="D51" s="4">
        <f>D50/(1+$B$33)^3</f>
        <v>0</v>
      </c>
      <c r="E51" s="4">
        <f>E50/(1+$B$33)^4</f>
        <v>0</v>
      </c>
      <c r="F51" s="4">
        <f>F50/(1+$B$33)^5</f>
        <v>0</v>
      </c>
      <c r="G51" s="4">
        <f>G50/(1+$B$33)^6</f>
        <v>0</v>
      </c>
      <c r="H51" s="4">
        <f>H50/(1+$B$33)^7</f>
        <v>0</v>
      </c>
      <c r="I51" s="4">
        <f>I50/(1+$B$33)^8</f>
        <v>0</v>
      </c>
      <c r="J51" s="4">
        <f>J50/(1+$B$33)^9</f>
        <v>0</v>
      </c>
      <c r="K51" s="4">
        <f>K50/(1+$B$33)^10</f>
        <v>0</v>
      </c>
      <c r="L51" s="4">
        <f>L50/(1+$B$33)^11</f>
        <v>0</v>
      </c>
      <c r="M51" s="4">
        <f>M50/(1+$B$33)^12</f>
        <v>0</v>
      </c>
    </row>
    <row r="52" spans="1:3" ht="12">
      <c r="A52" s="18" t="s">
        <v>148</v>
      </c>
      <c r="B52" s="4">
        <f>IF($B$33-$B$8&gt;0,B49+SUM(B51:L51)+(M50/($B$33-$B$8))/(1+$B$33)^11,IF(NOT(M50=0),#N/A,B49+SUM(B51:M51)))</f>
        <v>0</v>
      </c>
      <c r="C52" s="79" t="str">
        <f>IF($B$33-$B$8&gt;0," ",IF(NOT(M50=0),"Error! cost of minority interest &lt;= growth rate"," "))</f>
        <v> </v>
      </c>
    </row>
    <row r="53" spans="1:2" ht="12">
      <c r="A53" s="18"/>
      <c r="B53" s="4"/>
    </row>
    <row r="54" spans="1:243" ht="12">
      <c r="A54" s="72" t="s">
        <v>230</v>
      </c>
      <c r="B54" s="4">
        <f>'Financial Statements'!G71</f>
        <v>39652009.514994726</v>
      </c>
      <c r="C54" s="4">
        <f>'Financial Statements'!H71</f>
        <v>40174451.102202386</v>
      </c>
      <c r="D54" s="4">
        <f>'Financial Statements'!I71</f>
        <v>40778780.87059233</v>
      </c>
      <c r="E54" s="4">
        <f>'Financial Statements'!J71</f>
        <v>41468334.28171297</v>
      </c>
      <c r="F54" s="4">
        <f>'Financial Statements'!K71</f>
        <v>42246968.07480934</v>
      </c>
      <c r="G54" s="4">
        <f>'Financial Statements'!L71</f>
        <v>43119095.936659686</v>
      </c>
      <c r="H54" s="4">
        <f>'Financial Statements'!M71</f>
        <v>44089729.84041329</v>
      </c>
      <c r="I54" s="4">
        <f>'Financial Statements'!N71</f>
        <v>45164527.59119313</v>
      </c>
      <c r="J54" s="4">
        <f>'Financial Statements'!O71</f>
        <v>46349847.204426296</v>
      </c>
      <c r="K54" s="4">
        <f>'Financial Statements'!P71</f>
        <v>47652808.84157711</v>
      </c>
      <c r="L54" s="4">
        <f>'Financial Statements'!Q71</f>
        <v>49081365.13897802</v>
      </c>
      <c r="M54" s="4">
        <f>'Financial Statements'!R71</f>
        <v>50553806.093147375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</row>
    <row r="55" spans="1:13" ht="12">
      <c r="A55" t="s">
        <v>270</v>
      </c>
      <c r="B55" s="4">
        <f>'Financial Statements'!F75</f>
        <v>22527000</v>
      </c>
      <c r="C55" s="4">
        <f>'Financial Statements'!G75</f>
        <v>10315572.698594779</v>
      </c>
      <c r="D55" s="4">
        <f>'Financial Statements'!H75</f>
        <v>10451713.408542968</v>
      </c>
      <c r="E55" s="4">
        <f>'Financial Statements'!I75</f>
        <v>10609163.51045027</v>
      </c>
      <c r="F55" s="4">
        <f>'Financial Statements'!J75</f>
        <v>10788792.134957578</v>
      </c>
      <c r="G55" s="4">
        <f>'Financial Statements'!K75</f>
        <v>10991604.100672077</v>
      </c>
      <c r="H55" s="4">
        <f>'Financial Statements'!L75</f>
        <v>11218749.208642948</v>
      </c>
      <c r="I55" s="4">
        <f>'Financial Statements'!M75</f>
        <v>11471533.012865225</v>
      </c>
      <c r="J55" s="4">
        <f>'Financial Statements'!N75</f>
        <v>11751429.206938801</v>
      </c>
      <c r="K55" s="4">
        <f>'Financial Statements'!O75</f>
        <v>12060093.789979678</v>
      </c>
      <c r="L55" s="4">
        <f>'Financial Statements'!P75</f>
        <v>12399381.20058966</v>
      </c>
      <c r="M55" s="4">
        <f>'Financial Statements'!Q75</f>
        <v>12771362.63660735</v>
      </c>
    </row>
    <row r="56" spans="1:13" ht="12">
      <c r="A56" t="s">
        <v>363</v>
      </c>
      <c r="B56" s="4">
        <f aca="true" t="shared" si="3" ref="B56:M56">B54-($B$34*B55)</f>
        <v>37540779.07499473</v>
      </c>
      <c r="C56" s="4">
        <f t="shared" si="3"/>
        <v>39207675.62889008</v>
      </c>
      <c r="D56" s="4">
        <f t="shared" si="3"/>
        <v>39799246.28994369</v>
      </c>
      <c r="E56" s="4">
        <f t="shared" si="3"/>
        <v>40474043.477513574</v>
      </c>
      <c r="F56" s="4">
        <f t="shared" si="3"/>
        <v>41235842.47592112</v>
      </c>
      <c r="G56" s="4">
        <f t="shared" si="3"/>
        <v>42088962.8003447</v>
      </c>
      <c r="H56" s="4">
        <f t="shared" si="3"/>
        <v>43038308.66457927</v>
      </c>
      <c r="I56" s="4">
        <f t="shared" si="3"/>
        <v>44089415.517227404</v>
      </c>
      <c r="J56" s="4">
        <f t="shared" si="3"/>
        <v>45248503.259151995</v>
      </c>
      <c r="K56" s="4">
        <f t="shared" si="3"/>
        <v>46522536.85158022</v>
      </c>
      <c r="L56" s="4">
        <f t="shared" si="3"/>
        <v>47919295.13285875</v>
      </c>
      <c r="M56" s="4">
        <f t="shared" si="3"/>
        <v>49356873.98684453</v>
      </c>
    </row>
    <row r="57" spans="1:13" ht="12">
      <c r="A57" t="s">
        <v>229</v>
      </c>
      <c r="B57" s="4">
        <f>B56/(1+$B$34)^1</f>
        <v>34323939.46804916</v>
      </c>
      <c r="C57" s="4">
        <f>C56/(1+$B$34)^2</f>
        <v>32776214.183975548</v>
      </c>
      <c r="D57" s="4">
        <f>D56/(1+$B$34)^3</f>
        <v>30419802.228513125</v>
      </c>
      <c r="E57" s="4">
        <f>E56/(1+$B$34)^4</f>
        <v>28284726.176896013</v>
      </c>
      <c r="F57" s="4">
        <f>F56/(1+$B$34)^5</f>
        <v>26347784.518397707</v>
      </c>
      <c r="G57" s="4">
        <f>G56/(1+$B$34)^6</f>
        <v>24588458.387460902</v>
      </c>
      <c r="H57" s="4">
        <f>H56/(1+$B$34)^7</f>
        <v>22988578.601783965</v>
      </c>
      <c r="I57" s="4">
        <f>I56/(1+$B$34)^8</f>
        <v>21532036.691914063</v>
      </c>
      <c r="J57" s="4">
        <f>J56/(1+$B$34)^9</f>
        <v>20204533.80013507</v>
      </c>
      <c r="K57" s="4">
        <f>K56/(1+$B$34)^10</f>
        <v>18993362.219066393</v>
      </c>
      <c r="L57" s="4">
        <f>L56/(1+$B$34)^11</f>
        <v>17887215.097430296</v>
      </c>
      <c r="M57" s="4">
        <f>M56/(1+$B$34)^12</f>
        <v>16845108.02614308</v>
      </c>
    </row>
    <row r="58" spans="1:3" ht="12">
      <c r="A58" s="78" t="s">
        <v>33</v>
      </c>
      <c r="B58" s="4">
        <f>IF(ISNA($B$34),#N/A,B55+SUM(B57:L57)+(M56/($B$34-$B$8))/(1+$B$34)^11)</f>
        <v>590010995.2272508</v>
      </c>
      <c r="C58" s="79" t="str">
        <f>IF(($B$34-$B$8)&lt;=0,"Error! weighted average cost of capital &lt;= growth rate"," ")</f>
        <v> </v>
      </c>
    </row>
    <row r="59" spans="1:2" ht="12">
      <c r="A59" s="18" t="s">
        <v>320</v>
      </c>
      <c r="B59" s="4">
        <f>-B40</f>
        <v>8377562.245700372</v>
      </c>
    </row>
    <row r="60" spans="1:2" ht="12">
      <c r="A60" s="18" t="s">
        <v>428</v>
      </c>
      <c r="B60" s="4">
        <f>-B46</f>
        <v>0</v>
      </c>
    </row>
    <row r="61" spans="1:2" ht="12">
      <c r="A61" s="18" t="s">
        <v>149</v>
      </c>
      <c r="B61" s="4">
        <f>-B52</f>
        <v>0</v>
      </c>
    </row>
    <row r="62" spans="1:2" ht="12.75" customHeight="1">
      <c r="A62" s="18" t="s">
        <v>89</v>
      </c>
      <c r="B62" s="4">
        <f>B58+B59+B60+B61</f>
        <v>598388557.4729512</v>
      </c>
    </row>
    <row r="63" spans="1:2" ht="12">
      <c r="A63" s="78" t="s">
        <v>196</v>
      </c>
      <c r="B63" s="4">
        <f>B62*(1+($B$7/2))*(1+$B$7*(DAYS360(B5,B6)/360))</f>
        <v>657803554.658703</v>
      </c>
    </row>
    <row r="64" spans="1:4" ht="12">
      <c r="A64" s="78" t="s">
        <v>47</v>
      </c>
      <c r="B64" s="4">
        <f>-'Valuation Parameters'!J10</f>
        <v>0</v>
      </c>
      <c r="D64" s="45"/>
    </row>
    <row r="65" spans="1:2" ht="12">
      <c r="A65" t="s">
        <v>256</v>
      </c>
      <c r="B65" s="4">
        <f>B63+B64</f>
        <v>657803554.658703</v>
      </c>
    </row>
    <row r="66" spans="1:2" ht="12">
      <c r="A66" t="s">
        <v>205</v>
      </c>
      <c r="B66" s="4">
        <f>'Financial Statements'!B5</f>
        <v>7154</v>
      </c>
    </row>
    <row r="67" spans="1:2" ht="12.75" thickBot="1">
      <c r="A67" t="s">
        <v>206</v>
      </c>
      <c r="B67" s="4">
        <f>B66*'Valuation Parameters'!J12</f>
        <v>7154</v>
      </c>
    </row>
    <row r="68" spans="1:2" ht="12.75" thickBot="1">
      <c r="A68" t="s">
        <v>90</v>
      </c>
      <c r="B68" s="148">
        <f>B65/B67</f>
        <v>91949.05712310637</v>
      </c>
    </row>
  </sheetData>
  <sheetProtection/>
  <printOptions/>
  <pageMargins left="0.75" right="0.75" top="1" bottom="1" header="0.5" footer="0.5"/>
  <pageSetup fitToHeight="1" fitToWidth="1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5"/>
  <sheetViews>
    <sheetView tabSelected="1" zoomScale="125" zoomScaleNormal="125" workbookViewId="0" topLeftCell="A1">
      <pane xSplit="1" ySplit="10" topLeftCell="B16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D43" sqref="D43"/>
    </sheetView>
  </sheetViews>
  <sheetFormatPr defaultColWidth="8.8515625" defaultRowHeight="12.75"/>
  <cols>
    <col min="1" max="1" width="36.7109375" style="0" customWidth="1"/>
    <col min="2" max="13" width="15.7109375" style="0" customWidth="1"/>
  </cols>
  <sheetData>
    <row r="1" spans="1:13" s="59" customFormat="1" ht="16.5">
      <c r="A1" s="170" t="s">
        <v>113</v>
      </c>
      <c r="B1" s="179" t="s">
        <v>286</v>
      </c>
      <c r="C1" s="187"/>
      <c r="D1" s="188"/>
      <c r="E1" s="192"/>
      <c r="F1" s="181"/>
      <c r="G1" s="189"/>
      <c r="H1" s="181"/>
      <c r="I1" s="181"/>
      <c r="J1" s="181"/>
      <c r="K1" s="181"/>
      <c r="L1" s="181"/>
      <c r="M1" s="181"/>
    </row>
    <row r="2" spans="1:13" s="59" customFormat="1" ht="16.5">
      <c r="A2" s="170"/>
      <c r="B2" s="179"/>
      <c r="C2" s="187"/>
      <c r="D2" s="188"/>
      <c r="E2" s="192"/>
      <c r="F2" s="181"/>
      <c r="G2" s="189"/>
      <c r="H2" s="181"/>
      <c r="I2" s="181"/>
      <c r="J2" s="181"/>
      <c r="K2" s="181"/>
      <c r="L2" s="181"/>
      <c r="M2" s="181"/>
    </row>
    <row r="3" spans="1:13" ht="18" customHeight="1">
      <c r="A3" s="166"/>
      <c r="B3" s="164"/>
      <c r="C3" s="165"/>
      <c r="D3" s="193"/>
      <c r="E3" s="194"/>
      <c r="F3" s="164"/>
      <c r="G3" s="191"/>
      <c r="H3" s="164"/>
      <c r="I3" s="164"/>
      <c r="J3" s="164"/>
      <c r="K3" s="164"/>
      <c r="L3" s="164"/>
      <c r="M3" s="164"/>
    </row>
    <row r="4" spans="1:13" s="7" customFormat="1" ht="12">
      <c r="A4" s="6" t="s">
        <v>310</v>
      </c>
      <c r="B4" s="13" t="str">
        <f>'Financial Statements'!B4</f>
        <v>KOHL'S  </v>
      </c>
      <c r="C4" s="6"/>
      <c r="D4" s="6"/>
      <c r="E4" s="9"/>
      <c r="F4" s="9"/>
      <c r="G4" s="9"/>
      <c r="H4" s="9"/>
      <c r="I4" s="26"/>
      <c r="J4" s="9"/>
      <c r="K4" s="9"/>
      <c r="L4" s="9"/>
      <c r="M4" s="9"/>
    </row>
    <row r="5" spans="1:7" ht="12">
      <c r="A5" s="25" t="s">
        <v>221</v>
      </c>
      <c r="B5" s="40">
        <f>'Financial Statements'!F8</f>
        <v>40908</v>
      </c>
      <c r="C5" s="3"/>
      <c r="D5" s="22"/>
      <c r="E5" s="19"/>
      <c r="G5" s="11"/>
    </row>
    <row r="6" spans="1:7" ht="12">
      <c r="A6" s="25" t="s">
        <v>308</v>
      </c>
      <c r="B6" s="19">
        <f>'Valuation Parameters'!J11</f>
        <v>41079</v>
      </c>
      <c r="C6" s="3"/>
      <c r="D6" s="22"/>
      <c r="G6" s="11"/>
    </row>
    <row r="7" spans="1:2" ht="12">
      <c r="A7" s="25" t="s">
        <v>429</v>
      </c>
      <c r="B7" s="41">
        <f>'Valuation Parameters'!J9</f>
        <v>0.1</v>
      </c>
    </row>
    <row r="8" spans="1:2" ht="12">
      <c r="A8" s="25" t="s">
        <v>340</v>
      </c>
      <c r="B8" s="41">
        <f>'Forecasting Assumptions'!Q14</f>
        <v>0.03</v>
      </c>
    </row>
    <row r="9" spans="1:2" ht="12">
      <c r="A9" s="25"/>
      <c r="B9" s="35"/>
    </row>
    <row r="10" spans="1:13" ht="12.75" thickBot="1">
      <c r="A10" s="10" t="s">
        <v>407</v>
      </c>
      <c r="B10" s="255">
        <f>'Financial Statements'!G8</f>
        <v>41274</v>
      </c>
      <c r="C10" s="255">
        <f>'Financial Statements'!H8</f>
        <v>41639</v>
      </c>
      <c r="D10" s="255">
        <f>'Financial Statements'!I8</f>
        <v>42004</v>
      </c>
      <c r="E10" s="255">
        <f>'Financial Statements'!J8</f>
        <v>42369</v>
      </c>
      <c r="F10" s="255">
        <f>'Financial Statements'!K8</f>
        <v>42735</v>
      </c>
      <c r="G10" s="255">
        <f>'Financial Statements'!L8</f>
        <v>43100</v>
      </c>
      <c r="H10" s="255">
        <f>'Financial Statements'!M8</f>
        <v>43465</v>
      </c>
      <c r="I10" s="255">
        <f>'Financial Statements'!N8</f>
        <v>43830</v>
      </c>
      <c r="J10" s="255">
        <f>'Financial Statements'!O8</f>
        <v>44196</v>
      </c>
      <c r="K10" s="255">
        <f>'Financial Statements'!P8</f>
        <v>44561</v>
      </c>
      <c r="L10" s="255">
        <f>'Financial Statements'!Q8</f>
        <v>44926</v>
      </c>
      <c r="M10" s="255">
        <f>'Financial Statements'!R8</f>
        <v>45291</v>
      </c>
    </row>
    <row r="11" spans="1:13" ht="18" customHeight="1" hidden="1">
      <c r="A11" s="74">
        <f>B17+B33+B37-B45</f>
        <v>-53655642.88298905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ht="12">
      <c r="A12" s="76" t="s">
        <v>122</v>
      </c>
    </row>
    <row r="13" spans="1:13" ht="12">
      <c r="A13" t="s">
        <v>417</v>
      </c>
      <c r="B13" s="4">
        <f>'Cash Flow Analysis'!F64</f>
        <v>52252036.261607096</v>
      </c>
      <c r="C13" s="4">
        <f>'Cash Flow Analysis'!G64</f>
        <v>40440514.877090886</v>
      </c>
      <c r="D13" s="4">
        <f>'Cash Flow Analysis'!H64</f>
        <v>41038166.780153245</v>
      </c>
      <c r="E13" s="4">
        <f>'Cash Flow Analysis'!I64</f>
        <v>41721284.954209596</v>
      </c>
      <c r="F13" s="4">
        <f>'Cash Flow Analysis'!J64</f>
        <v>42493683.69067362</v>
      </c>
      <c r="G13" s="4">
        <f>'Cash Flow Analysis'!K64</f>
        <v>43359733.809867084</v>
      </c>
      <c r="H13" s="4">
        <f>'Cash Flow Analysis'!L64</f>
        <v>44324403.53287551</v>
      </c>
      <c r="I13" s="4">
        <f>'Cash Flow Analysis'!M64</f>
        <v>45393305.5352388</v>
      </c>
      <c r="J13" s="4">
        <f>'Cash Flow Analysis'!N64</f>
        <v>46572750.801024556</v>
      </c>
      <c r="K13" s="4">
        <f>'Cash Flow Analysis'!O64</f>
        <v>47869809.99386591</v>
      </c>
      <c r="L13" s="4">
        <f>'Cash Flow Analysis'!P64</f>
        <v>49292383.17172778</v>
      </c>
      <c r="M13" s="4">
        <f>'Cash Flow Analysis'!Q64</f>
        <v>50771154.666879594</v>
      </c>
    </row>
    <row r="14" spans="1:13" ht="12">
      <c r="A14" s="78" t="s">
        <v>118</v>
      </c>
      <c r="B14" s="4">
        <f>B13/(1+$B$7)^1</f>
        <v>47501851.14691554</v>
      </c>
      <c r="C14" s="4">
        <f>C13/(1+$B$7)^2</f>
        <v>33421913.121562712</v>
      </c>
      <c r="D14" s="4">
        <f>D13/(1+$B$7)^3</f>
        <v>30832582.103796568</v>
      </c>
      <c r="E14" s="4">
        <f>E13/(1+$B$7)^4</f>
        <v>28496198.998845425</v>
      </c>
      <c r="F14" s="4">
        <f>F13/(1+$B$7)^5</f>
        <v>26385234.2988703</v>
      </c>
      <c r="G14" s="4">
        <f>G13/(1+$B$7)^6</f>
        <v>24475439.34974131</v>
      </c>
      <c r="H14" s="4">
        <f>H13/(1+$B$7)^7</f>
        <v>22745427.50862887</v>
      </c>
      <c r="I14" s="4">
        <f>I13/(1+$B$7)^8</f>
        <v>21176312.044304233</v>
      </c>
      <c r="J14" s="4">
        <f>J13/(1+$B$7)^9</f>
        <v>19751392.695769742</v>
      </c>
      <c r="K14" s="4">
        <f>K13/(1+$B$7)^10</f>
        <v>18455884.00940172</v>
      </c>
      <c r="L14" s="4">
        <f>L13/(1+$B$7)^11</f>
        <v>17276679.592589825</v>
      </c>
      <c r="M14" s="4">
        <f>M13/(1+$B$7)^12</f>
        <v>16177254.52760683</v>
      </c>
    </row>
    <row r="15" spans="1:3" ht="12">
      <c r="A15" s="218" t="s">
        <v>338</v>
      </c>
      <c r="B15" s="4">
        <f>L14+(M13/($B$7-$B$8))/(1+$B$7)^11</f>
        <v>271490679.3121257</v>
      </c>
      <c r="C15" s="79" t="str">
        <f>IF(($B$7-$B$8)&lt;0,"Error! cost of equity capital &lt; growth rate"," ")</f>
        <v> </v>
      </c>
    </row>
    <row r="16" spans="1:2" ht="12">
      <c r="A16" s="218" t="s">
        <v>337</v>
      </c>
      <c r="B16" s="4">
        <f>SUM(B14:K14)</f>
        <v>273242235.27783644</v>
      </c>
    </row>
    <row r="17" spans="1:2" ht="12.75" customHeight="1">
      <c r="A17" s="18" t="s">
        <v>89</v>
      </c>
      <c r="B17" s="4">
        <f>B15+B16</f>
        <v>544732914.5899621</v>
      </c>
    </row>
    <row r="18" spans="1:2" ht="12">
      <c r="A18" s="78" t="s">
        <v>46</v>
      </c>
      <c r="B18" s="4">
        <f>B17*(1+(B7/2))*(1+B7*(DAYS360(B5,B6)/360))</f>
        <v>598820353.5677905</v>
      </c>
    </row>
    <row r="19" spans="1:2" ht="12">
      <c r="A19" s="78" t="s">
        <v>119</v>
      </c>
      <c r="B19" s="4">
        <f>-'Valuation Parameters'!J10</f>
        <v>0</v>
      </c>
    </row>
    <row r="20" spans="1:2" ht="12">
      <c r="A20" t="s">
        <v>256</v>
      </c>
      <c r="B20" s="48">
        <f>B18+B19</f>
        <v>598820353.5677905</v>
      </c>
    </row>
    <row r="21" spans="1:2" ht="12">
      <c r="A21" t="s">
        <v>205</v>
      </c>
      <c r="B21" s="4">
        <f>'Financial Statements'!B5</f>
        <v>7154</v>
      </c>
    </row>
    <row r="22" spans="1:2" ht="12.75" thickBot="1">
      <c r="A22" t="s">
        <v>206</v>
      </c>
      <c r="B22" s="4">
        <f>B21*'Valuation Parameters'!J12</f>
        <v>7154</v>
      </c>
    </row>
    <row r="23" spans="1:2" ht="12.75" thickBot="1">
      <c r="A23" t="s">
        <v>90</v>
      </c>
      <c r="B23" s="148">
        <f>B20/B22</f>
        <v>83704.27083698497</v>
      </c>
    </row>
    <row r="25" ht="12">
      <c r="A25" s="76" t="s">
        <v>52</v>
      </c>
    </row>
    <row r="26" spans="1:2" ht="12">
      <c r="A26" s="25" t="s">
        <v>55</v>
      </c>
      <c r="B26" s="41">
        <f>'Valuation Parameters'!J15</f>
        <v>0.08</v>
      </c>
    </row>
    <row r="27" spans="1:6" ht="12">
      <c r="A27" s="25" t="s">
        <v>178</v>
      </c>
      <c r="B27" s="41">
        <f>'Valuation Parameters'!J16</f>
        <v>0.09</v>
      </c>
      <c r="F27" s="74"/>
    </row>
    <row r="28" spans="1:6" ht="12">
      <c r="A28" s="25" t="s">
        <v>144</v>
      </c>
      <c r="B28" s="41">
        <f>'Valuation Parameters'!J17</f>
        <v>0.1</v>
      </c>
      <c r="F28" s="74"/>
    </row>
    <row r="29" spans="1:3" ht="12">
      <c r="A29" s="78" t="s">
        <v>32</v>
      </c>
      <c r="B29" s="41">
        <f>'Valuation Parameters'!J19</f>
        <v>0.09372</v>
      </c>
      <c r="C29" s="79"/>
    </row>
    <row r="30" spans="1:2" ht="12">
      <c r="A30" s="25"/>
      <c r="B30" s="41"/>
    </row>
    <row r="31" spans="1:13" ht="12">
      <c r="A31" t="s">
        <v>179</v>
      </c>
      <c r="B31" s="4">
        <f>'Cash Flow Analysis'!F90+'Cash Flow Analysis'!F95</f>
        <v>-385345.093313893</v>
      </c>
      <c r="C31" s="4">
        <f>'Cash Flow Analysis'!G90+'Cash Flow Analysis'!G95</f>
        <v>-398910.20405528304</v>
      </c>
      <c r="D31" s="4">
        <f>'Cash Flow Analysis'!H90+'Cash Flow Analysis'!H95</f>
        <v>-413495.15885434253</v>
      </c>
      <c r="E31" s="4">
        <f>'Cash Flow Analysis'!I90+'Cash Flow Analysis'!I95</f>
        <v>-429184.9741405324</v>
      </c>
      <c r="F31" s="4">
        <f>'Cash Flow Analysis'!J90+'Cash Flow Analysis'!J95</f>
        <v>-446072.5927872695</v>
      </c>
      <c r="G31" s="4">
        <f>'Cash Flow Analysis'!K90+'Cash Flow Analysis'!K95</f>
        <v>-464259.7889962371</v>
      </c>
      <c r="H31" s="4">
        <f>'Cash Flow Analysis'!L90+'Cash Flow Analysis'!L95</f>
        <v>-483858.17416056024</v>
      </c>
      <c r="I31" s="4">
        <f>'Cash Flow Analysis'!M90+'Cash Flow Analysis'!M95</f>
        <v>-504990.3174344583</v>
      </c>
      <c r="J31" s="4">
        <f>'Cash Flow Analysis'!N90+'Cash Flow Analysis'!N95</f>
        <v>-527790.9965166443</v>
      </c>
      <c r="K31" s="4">
        <f>'Cash Flow Analysis'!O90+'Cash Flow Analysis'!O95</f>
        <v>-552408.5962064951</v>
      </c>
      <c r="L31" s="4">
        <f>'Cash Flow Analysis'!P90+'Cash Flow Analysis'!P95</f>
        <v>-579006.6746561007</v>
      </c>
      <c r="M31" s="4">
        <f>'Cash Flow Analysis'!Q90+'Cash Flow Analysis'!Q95</f>
        <v>-596376.8748957819</v>
      </c>
    </row>
    <row r="32" spans="1:13" ht="12">
      <c r="A32" t="s">
        <v>41</v>
      </c>
      <c r="B32" s="4">
        <f>B31/(1+$B$26)^1</f>
        <v>-356801.0123276787</v>
      </c>
      <c r="C32" s="4">
        <f>C31/(1+$B$26)^2</f>
        <v>-342001.2037511</v>
      </c>
      <c r="D32" s="4">
        <f>D31/(1+$B$26)^3</f>
        <v>-328245.78860433376</v>
      </c>
      <c r="E32" s="4">
        <f>E31/(1+$B$26)^4</f>
        <v>-315463.7683649651</v>
      </c>
      <c r="F32" s="4">
        <f>F31/(1+$B$26)^5</f>
        <v>-303589.5113082953</v>
      </c>
      <c r="G32" s="4">
        <f>G31/(1+$B$26)^6</f>
        <v>-292562.4180085876</v>
      </c>
      <c r="H32" s="4">
        <f>H31/(1+$B$26)^7</f>
        <v>-282326.5972917597</v>
      </c>
      <c r="I32" s="4">
        <f>I31/(1+$B$26)^8</f>
        <v>-272830.5554846134</v>
      </c>
      <c r="J32" s="4">
        <f>J31/(1+$B$26)^9</f>
        <v>-264026.90086873475</v>
      </c>
      <c r="K32" s="4">
        <f>K31/(1+$B$26)^10</f>
        <v>-255872.06452485034</v>
      </c>
      <c r="L32" s="4">
        <f>L31/(1+$B$26)^11</f>
        <v>-248326.03820210483</v>
      </c>
      <c r="M32" s="4">
        <f>M31/(1+$B$26)^12</f>
        <v>-236829.46235941406</v>
      </c>
    </row>
    <row r="33" spans="1:3" ht="12">
      <c r="A33" s="18" t="s">
        <v>180</v>
      </c>
      <c r="B33" s="4">
        <f>IF($B$26-$B$8&gt;0,SUM(B32:L32)+(M31/($B$26-$B$8))/(1+$B$26)^11,IF(NOT(M31=0),#N/A,SUM(B32:M32)))</f>
        <v>-8377562.245700367</v>
      </c>
      <c r="C33" s="79" t="str">
        <f>IF($B$26-$B$8&gt;0," ",IF(NOT(M31=0),"Error! cost of debt &lt;= growth rate"," "))</f>
        <v> </v>
      </c>
    </row>
    <row r="34" spans="1:2" ht="12">
      <c r="A34" s="18"/>
      <c r="B34" s="4"/>
    </row>
    <row r="35" spans="1:13" ht="12">
      <c r="A35" t="s">
        <v>181</v>
      </c>
      <c r="B35" s="4">
        <f>'Cash Flow Analysis'!F92+'Cash Flow Analysis'!F96</f>
        <v>0</v>
      </c>
      <c r="C35" s="4">
        <f>'Cash Flow Analysis'!G92+'Cash Flow Analysis'!G96</f>
        <v>0</v>
      </c>
      <c r="D35" s="4">
        <f>'Cash Flow Analysis'!H92+'Cash Flow Analysis'!H96</f>
        <v>0</v>
      </c>
      <c r="E35" s="4">
        <f>'Cash Flow Analysis'!I92+'Cash Flow Analysis'!I96</f>
        <v>0</v>
      </c>
      <c r="F35" s="4">
        <f>'Cash Flow Analysis'!J92+'Cash Flow Analysis'!J96</f>
        <v>0</v>
      </c>
      <c r="G35" s="4">
        <f>'Cash Flow Analysis'!K92+'Cash Flow Analysis'!K96</f>
        <v>0</v>
      </c>
      <c r="H35" s="4">
        <f>'Cash Flow Analysis'!L92+'Cash Flow Analysis'!L96</f>
        <v>0</v>
      </c>
      <c r="I35" s="4">
        <f>'Cash Flow Analysis'!M92+'Cash Flow Analysis'!M96</f>
        <v>0</v>
      </c>
      <c r="J35" s="4">
        <f>'Cash Flow Analysis'!N92+'Cash Flow Analysis'!N96</f>
        <v>0</v>
      </c>
      <c r="K35" s="4">
        <f>'Cash Flow Analysis'!O92+'Cash Flow Analysis'!O96</f>
        <v>0</v>
      </c>
      <c r="L35" s="4">
        <f>'Cash Flow Analysis'!P92+'Cash Flow Analysis'!P96</f>
        <v>0</v>
      </c>
      <c r="M35" s="4">
        <f>'Cash Flow Analysis'!Q92+'Cash Flow Analysis'!Q96</f>
        <v>0</v>
      </c>
    </row>
    <row r="36" spans="1:13" ht="12">
      <c r="A36" t="s">
        <v>42</v>
      </c>
      <c r="B36" s="4">
        <f>B35/(1+$B$27)^1</f>
        <v>0</v>
      </c>
      <c r="C36" s="4">
        <f>C35/(1+$B$27)^2</f>
        <v>0</v>
      </c>
      <c r="D36" s="4">
        <f>D35/(1+$B$27)^3</f>
        <v>0</v>
      </c>
      <c r="E36" s="4">
        <f>E35/(1+$B$27)^4</f>
        <v>0</v>
      </c>
      <c r="F36" s="4">
        <f>F35/(1+$B$27)^5</f>
        <v>0</v>
      </c>
      <c r="G36" s="4">
        <f>G35/(1+$B$27)^6</f>
        <v>0</v>
      </c>
      <c r="H36" s="4">
        <f>H35/(1+$B$27)^7</f>
        <v>0</v>
      </c>
      <c r="I36" s="4">
        <f>I35/(1+$B$27)^8</f>
        <v>0</v>
      </c>
      <c r="J36" s="4">
        <f>J35/(1+$B$27)^9</f>
        <v>0</v>
      </c>
      <c r="K36" s="4">
        <f>K35/(1+$B$27)^10</f>
        <v>0</v>
      </c>
      <c r="L36" s="4">
        <f>L35/(1+$B$27)^11</f>
        <v>0</v>
      </c>
      <c r="M36" s="4">
        <f>M35/(1+$B$27)^12</f>
        <v>0</v>
      </c>
    </row>
    <row r="37" spans="1:3" ht="12">
      <c r="A37" s="18" t="s">
        <v>336</v>
      </c>
      <c r="B37" s="4">
        <f>IF($B$27-$B$8&gt;0,SUM(B36:L36)+(M35/($B$27-$B$8))/(1+$B$27)^11,IF(NOT(M35=0),#N/A,SUM(B36:M36)))</f>
        <v>0</v>
      </c>
      <c r="C37" s="79" t="str">
        <f>IF($B$27-$B$8&gt;0," ",IF(NOT(M35=0),"Error! cost of preferred stock &lt;= growth rate"," "))</f>
        <v> </v>
      </c>
    </row>
    <row r="38" spans="1:3" ht="12">
      <c r="A38" s="18"/>
      <c r="B38" s="4"/>
      <c r="C38" s="79"/>
    </row>
    <row r="39" spans="1:13" ht="12">
      <c r="A39" t="s">
        <v>159</v>
      </c>
      <c r="B39" s="4">
        <f>'Cash Flow Analysis'!F93</f>
        <v>0</v>
      </c>
      <c r="C39" s="4">
        <f>'Cash Flow Analysis'!G93</f>
        <v>0</v>
      </c>
      <c r="D39" s="4">
        <f>'Cash Flow Analysis'!H93</f>
        <v>0</v>
      </c>
      <c r="E39" s="4">
        <f>'Cash Flow Analysis'!I93</f>
        <v>0</v>
      </c>
      <c r="F39" s="4">
        <f>'Cash Flow Analysis'!J93</f>
        <v>0</v>
      </c>
      <c r="G39" s="4">
        <f>'Cash Flow Analysis'!K93</f>
        <v>0</v>
      </c>
      <c r="H39" s="4">
        <f>'Cash Flow Analysis'!L93</f>
        <v>0</v>
      </c>
      <c r="I39" s="4">
        <f>'Cash Flow Analysis'!M93</f>
        <v>0</v>
      </c>
      <c r="J39" s="4">
        <f>'Cash Flow Analysis'!N93</f>
        <v>0</v>
      </c>
      <c r="K39" s="4">
        <f>'Cash Flow Analysis'!O93</f>
        <v>0</v>
      </c>
      <c r="L39" s="4">
        <f>'Cash Flow Analysis'!P93</f>
        <v>0</v>
      </c>
      <c r="M39" s="4">
        <f>'Cash Flow Analysis'!Q93</f>
        <v>0</v>
      </c>
    </row>
    <row r="40" spans="1:13" ht="12">
      <c r="A40" t="s">
        <v>259</v>
      </c>
      <c r="B40" s="4">
        <f>B39/(1+$B$28)^1</f>
        <v>0</v>
      </c>
      <c r="C40" s="4">
        <f>C39/(1+$B$28)^2</f>
        <v>0</v>
      </c>
      <c r="D40" s="4">
        <f>D39/(1+$B$28)^3</f>
        <v>0</v>
      </c>
      <c r="E40" s="4">
        <f>E39/(1+$B$28)^4</f>
        <v>0</v>
      </c>
      <c r="F40" s="4">
        <f>F39/(1+$B$28)^5</f>
        <v>0</v>
      </c>
      <c r="G40" s="4">
        <f>G39/(1+$B$28)^6</f>
        <v>0</v>
      </c>
      <c r="H40" s="4">
        <f>H39/(1+$B$28)^7</f>
        <v>0</v>
      </c>
      <c r="I40" s="4">
        <f>I39/(1+$B$28)^8</f>
        <v>0</v>
      </c>
      <c r="J40" s="4">
        <f>J39/(1+$B$28)^9</f>
        <v>0</v>
      </c>
      <c r="K40" s="4">
        <f>K39/(1+$B$28)^10</f>
        <v>0</v>
      </c>
      <c r="L40" s="4">
        <f>L39/(1+$B$28)^11</f>
        <v>0</v>
      </c>
      <c r="M40" s="4">
        <f>M39/(1+$B$28)^12</f>
        <v>0</v>
      </c>
    </row>
    <row r="41" spans="1:3" ht="12">
      <c r="A41" s="18" t="s">
        <v>148</v>
      </c>
      <c r="B41" s="4">
        <f>IF($B$28-$B$8&gt;0,SUM(B40:L40)+(M39/($B$28-$B$8))/(1+$B$28)^11,IF(NOT(M39=0),#N/A,SUM(B40:M40)))</f>
        <v>0</v>
      </c>
      <c r="C41" s="79" t="str">
        <f>IF($B$28-$B$8&gt;0," ",IF(NOT(M39=0),"Error! cost of minority interest &lt;= growth rate"," "))</f>
        <v> </v>
      </c>
    </row>
    <row r="42" spans="1:2" ht="12">
      <c r="A42" s="18"/>
      <c r="B42" s="4"/>
    </row>
    <row r="43" spans="1:243" ht="12">
      <c r="A43" s="72" t="s">
        <v>362</v>
      </c>
      <c r="B43" s="4">
        <f>'Cash Flow Analysis'!F97</f>
        <v>51863436.81639995</v>
      </c>
      <c r="C43" s="4">
        <f>'Cash Flow Analysis'!G97</f>
        <v>40038310.392254196</v>
      </c>
      <c r="D43" s="4">
        <f>'Cash Flow Analysis'!H97</f>
        <v>40621330.76868504</v>
      </c>
      <c r="E43" s="4">
        <f>'Cash Flow Analysis'!I97</f>
        <v>41288705.65720568</v>
      </c>
      <c r="F43" s="4">
        <f>'Cash Flow Analysis'!J97</f>
        <v>42044156.109094836</v>
      </c>
      <c r="G43" s="4">
        <f>'Cash Flow Analysis'!K97</f>
        <v>42891950.8286888</v>
      </c>
      <c r="H43" s="4">
        <f>'Cash Flow Analysis'!L97</f>
        <v>43836946.036190994</v>
      </c>
      <c r="I43" s="4">
        <f>'Cash Flow Analysis'!M97</f>
        <v>44884631.39711958</v>
      </c>
      <c r="J43" s="4">
        <f>'Cash Flow Analysis'!N97</f>
        <v>46041182.62138537</v>
      </c>
      <c r="K43" s="4">
        <f>'Cash Flow Analysis'!O97</f>
        <v>47313521.43096714</v>
      </c>
      <c r="L43" s="4">
        <f>'Cash Flow Analysis'!P97</f>
        <v>48709383.702960365</v>
      </c>
      <c r="M43" s="4">
        <f>'Cash Flow Analysis'!Q97</f>
        <v>50170665.21404917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</row>
    <row r="44" spans="1:13" ht="12">
      <c r="A44" t="s">
        <v>367</v>
      </c>
      <c r="B44" s="4">
        <f>B43/(1+$B$29)^1</f>
        <v>47419300.01865189</v>
      </c>
      <c r="C44" s="4">
        <f>C43/(1+$B$29)^2</f>
        <v>33470595.130460866</v>
      </c>
      <c r="D44" s="4">
        <f>D43/(1+$B$29)^3</f>
        <v>31048146.973442655</v>
      </c>
      <c r="E44" s="4">
        <f>E43/(1+$B$29)^4</f>
        <v>28854041.587452073</v>
      </c>
      <c r="F44" s="4">
        <f>F43/(1+$B$29)^5</f>
        <v>26864259.316810776</v>
      </c>
      <c r="G44" s="4">
        <f>G43/(1+$B$29)^6</f>
        <v>25057565.640453286</v>
      </c>
      <c r="H44" s="4">
        <f>H43/(1+$B$29)^7</f>
        <v>23415164.556513365</v>
      </c>
      <c r="I44" s="4">
        <f>I43/(1+$B$29)^8</f>
        <v>21920397.873457525</v>
      </c>
      <c r="J44" s="4">
        <f>J43/(1+$B$29)^9</f>
        <v>20558484.004303966</v>
      </c>
      <c r="K44" s="4">
        <f>K43/(1+$B$29)^10</f>
        <v>19316290.796111118</v>
      </c>
      <c r="L44" s="4">
        <f>L43/(1+$B$29)^11</f>
        <v>18182137.720149297</v>
      </c>
      <c r="M44" s="4">
        <f>M43/(1+$B$29)^12</f>
        <v>17122848.491162065</v>
      </c>
    </row>
    <row r="45" spans="1:3" ht="12">
      <c r="A45" s="78" t="s">
        <v>33</v>
      </c>
      <c r="B45" s="4">
        <f>IF(ISNA($B$29),#N/A,SUM(B44:L44)+(M43/($B$29-$B$8))/(1+$B$29)^11)</f>
        <v>590010995.2272508</v>
      </c>
      <c r="C45" s="79" t="str">
        <f>IF(($B$29-$B$8)&lt;=0,"Error! weighted average cost of capital &lt;= growth rate"," ")</f>
        <v> </v>
      </c>
    </row>
    <row r="46" spans="1:2" ht="12">
      <c r="A46" s="18" t="s">
        <v>56</v>
      </c>
      <c r="B46" s="4">
        <f>-B33</f>
        <v>8377562.245700367</v>
      </c>
    </row>
    <row r="47" spans="1:2" ht="12">
      <c r="A47" s="18" t="s">
        <v>428</v>
      </c>
      <c r="B47" s="4">
        <f>-B37</f>
        <v>0</v>
      </c>
    </row>
    <row r="48" spans="1:2" ht="12">
      <c r="A48" s="18" t="s">
        <v>149</v>
      </c>
      <c r="B48" s="4">
        <f>-B41</f>
        <v>0</v>
      </c>
    </row>
    <row r="49" spans="1:2" ht="12.75" customHeight="1">
      <c r="A49" s="18" t="s">
        <v>89</v>
      </c>
      <c r="B49" s="4">
        <f>B45+B46+B47+B48</f>
        <v>598388557.4729512</v>
      </c>
    </row>
    <row r="50" spans="1:2" ht="12">
      <c r="A50" s="78" t="s">
        <v>108</v>
      </c>
      <c r="B50" s="4">
        <f>B49*(1+(B7/2))*(1+B7*(DAYS360(B5,B6)/360))</f>
        <v>657803554.658703</v>
      </c>
    </row>
    <row r="51" spans="1:4" ht="12">
      <c r="A51" s="78" t="s">
        <v>408</v>
      </c>
      <c r="B51" s="4">
        <f>-'Valuation Parameters'!J10</f>
        <v>0</v>
      </c>
      <c r="D51" s="45"/>
    </row>
    <row r="52" spans="1:2" ht="12">
      <c r="A52" t="s">
        <v>256</v>
      </c>
      <c r="B52" s="4">
        <f>B50+B51</f>
        <v>657803554.658703</v>
      </c>
    </row>
    <row r="53" spans="1:2" ht="12">
      <c r="A53" t="s">
        <v>205</v>
      </c>
      <c r="B53" s="4">
        <f>'Financial Statements'!B5</f>
        <v>7154</v>
      </c>
    </row>
    <row r="54" spans="1:2" ht="12.75" thickBot="1">
      <c r="A54" t="s">
        <v>206</v>
      </c>
      <c r="B54" s="4">
        <f>B53*'Valuation Parameters'!J12</f>
        <v>7154</v>
      </c>
    </row>
    <row r="55" spans="1:2" ht="12.75" thickBot="1">
      <c r="A55" t="s">
        <v>90</v>
      </c>
      <c r="B55" s="148">
        <f>B52/B54</f>
        <v>91949.05712310637</v>
      </c>
    </row>
  </sheetData>
  <sheetProtection/>
  <printOptions/>
  <pageMargins left="0.75" right="0.75" top="1" bottom="1" header="0.5" footer="0.5"/>
  <pageSetup fitToHeight="1" fitToWidth="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