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9525" activeTab="2"/>
  </bookViews>
  <sheets>
    <sheet name="WACC at  Market" sheetId="5" r:id="rId1"/>
    <sheet name="Inputs" sheetId="1" r:id="rId2"/>
    <sheet name="Cash Flows " sheetId="4" r:id="rId3"/>
    <sheet name="Cash Flows" sheetId="2" state="hidden" r:id="rId4"/>
  </sheets>
  <definedNames>
    <definedName name="_xlnm.Print_Area" localSheetId="2">'Cash Flows '!$A$2:$J$57</definedName>
  </definedNames>
  <calcPr calcId="125725"/>
</workbook>
</file>

<file path=xl/calcChain.xml><?xml version="1.0" encoding="utf-8"?>
<calcChain xmlns="http://schemas.openxmlformats.org/spreadsheetml/2006/main">
  <c r="C37" i="4"/>
  <c r="G37"/>
  <c r="D36" l="1"/>
  <c r="C34"/>
  <c r="C12"/>
  <c r="D25"/>
  <c r="E25"/>
  <c r="F25"/>
  <c r="F7"/>
  <c r="G7" s="1"/>
  <c r="E7"/>
  <c r="F6"/>
  <c r="G6" s="1"/>
  <c r="E6"/>
  <c r="F5"/>
  <c r="G5" s="1"/>
  <c r="E5"/>
  <c r="F24" i="5" l="1"/>
  <c r="F23"/>
  <c r="E19"/>
  <c r="E17"/>
  <c r="G16"/>
  <c r="F16"/>
  <c r="H16" s="1"/>
  <c r="I16" s="1"/>
  <c r="E11"/>
  <c r="B8"/>
  <c r="E7"/>
  <c r="E21" l="1"/>
  <c r="C16" s="1"/>
  <c r="G24" s="1"/>
  <c r="H24" s="1"/>
  <c r="E13"/>
  <c r="C15" l="1"/>
  <c r="C17" s="1"/>
  <c r="C19"/>
  <c r="G25" s="1"/>
  <c r="H25" s="1"/>
  <c r="G23"/>
  <c r="H23" s="1"/>
  <c r="H26" s="1"/>
  <c r="C21" l="1"/>
  <c r="E52" i="4"/>
  <c r="D52"/>
  <c r="C52"/>
  <c r="E42"/>
  <c r="D42"/>
  <c r="C42"/>
  <c r="G24"/>
  <c r="G22"/>
  <c r="F22"/>
  <c r="E22"/>
  <c r="D22"/>
  <c r="H18"/>
  <c r="D16"/>
  <c r="C11"/>
  <c r="D17"/>
  <c r="E16"/>
  <c r="D15"/>
  <c r="F42" l="1"/>
  <c r="D19"/>
  <c r="E51" i="2"/>
  <c r="D51"/>
  <c r="C51"/>
  <c r="D4"/>
  <c r="E17" i="4" l="1"/>
  <c r="F16"/>
  <c r="G16"/>
  <c r="E15"/>
  <c r="C27"/>
  <c r="D20"/>
  <c r="D21" s="1"/>
  <c r="G36" i="2"/>
  <c r="F15" i="4" l="1"/>
  <c r="G15"/>
  <c r="H15" s="1"/>
  <c r="E19"/>
  <c r="F17"/>
  <c r="G17"/>
  <c r="D41" i="2"/>
  <c r="E20" i="4" l="1"/>
  <c r="E21" s="1"/>
  <c r="G19"/>
  <c r="F19"/>
  <c r="D27"/>
  <c r="B4" i="1"/>
  <c r="E41" i="2"/>
  <c r="C41"/>
  <c r="G25" i="4" l="1"/>
  <c r="E27"/>
  <c r="E29" s="1"/>
  <c r="D29"/>
  <c r="F20"/>
  <c r="F21" s="1"/>
  <c r="G20"/>
  <c r="G21" s="1"/>
  <c r="F41" i="2"/>
  <c r="G23"/>
  <c r="G21"/>
  <c r="F21"/>
  <c r="E21"/>
  <c r="C10"/>
  <c r="D6"/>
  <c r="D16" s="1"/>
  <c r="E5"/>
  <c r="F5" s="1"/>
  <c r="G5" s="1"/>
  <c r="E4"/>
  <c r="F4" s="1"/>
  <c r="G4" s="1"/>
  <c r="C11"/>
  <c r="G27" i="4" l="1"/>
  <c r="F27"/>
  <c r="H21"/>
  <c r="E36"/>
  <c r="D21" i="2"/>
  <c r="H17"/>
  <c r="C26"/>
  <c r="E6"/>
  <c r="D14"/>
  <c r="D15"/>
  <c r="G29" i="4" l="1"/>
  <c r="D32"/>
  <c r="F36"/>
  <c r="G36" s="1"/>
  <c r="F29"/>
  <c r="H29"/>
  <c r="C29"/>
  <c r="H27"/>
  <c r="C32"/>
  <c r="E15" i="2"/>
  <c r="E14"/>
  <c r="D18"/>
  <c r="E16"/>
  <c r="F6"/>
  <c r="C30" i="4" l="1"/>
  <c r="G6" i="2"/>
  <c r="G16" s="1"/>
  <c r="F16"/>
  <c r="E18"/>
  <c r="D24"/>
  <c r="F15"/>
  <c r="F14"/>
  <c r="D19"/>
  <c r="D20" s="1"/>
  <c r="D26" l="1"/>
  <c r="G15"/>
  <c r="G14"/>
  <c r="H14" s="1"/>
  <c r="E19"/>
  <c r="E20" s="1"/>
  <c r="E24"/>
  <c r="F18"/>
  <c r="D28" l="1"/>
  <c r="D35"/>
  <c r="E26"/>
  <c r="E28" s="1"/>
  <c r="F19"/>
  <c r="F20" s="1"/>
  <c r="G18"/>
  <c r="F24"/>
  <c r="G24" s="1"/>
  <c r="E35" l="1"/>
  <c r="F26"/>
  <c r="F28" s="1"/>
  <c r="G19"/>
  <c r="G20" s="1"/>
  <c r="G26" s="1"/>
  <c r="G28" s="1"/>
  <c r="H28" l="1"/>
  <c r="C28"/>
  <c r="H26"/>
  <c r="H20"/>
  <c r="F35"/>
  <c r="G35" s="1"/>
  <c r="C36" s="1"/>
  <c r="C31"/>
  <c r="C33" l="1"/>
  <c r="C29"/>
</calcChain>
</file>

<file path=xl/sharedStrings.xml><?xml version="1.0" encoding="utf-8"?>
<sst xmlns="http://schemas.openxmlformats.org/spreadsheetml/2006/main" count="133" uniqueCount="81">
  <si>
    <t>Inputs</t>
  </si>
  <si>
    <t>Base Case</t>
  </si>
  <si>
    <t>Equipment Cost</t>
  </si>
  <si>
    <t>Salvage Value, Year 4</t>
  </si>
  <si>
    <t>Units Sold, Year 1</t>
  </si>
  <si>
    <t>Sales price per unit, Year 1</t>
  </si>
  <si>
    <t>Annual change in sales price, after Year 1</t>
  </si>
  <si>
    <t>Variable cost per unit (VC), Year 1</t>
  </si>
  <si>
    <t>Annual change in VC, after Year 1</t>
  </si>
  <si>
    <t>Fixed Cost (FC), Year 1</t>
  </si>
  <si>
    <t>Annual change in FC, after Year 1</t>
  </si>
  <si>
    <t>Project WACC</t>
  </si>
  <si>
    <t>Tax Rate</t>
  </si>
  <si>
    <t>Variables</t>
  </si>
  <si>
    <t>Year:</t>
  </si>
  <si>
    <t>Unit Sales</t>
  </si>
  <si>
    <t>Sales Price per Unit</t>
  </si>
  <si>
    <t>Variable Cost per Unit</t>
  </si>
  <si>
    <t>Fixed Costs</t>
  </si>
  <si>
    <t>Cash Flows At End of Year</t>
  </si>
  <si>
    <t>Investment:</t>
  </si>
  <si>
    <t>Equipment</t>
  </si>
  <si>
    <t>Initial Working Capital</t>
  </si>
  <si>
    <t>Project Cash Flows:</t>
  </si>
  <si>
    <t>Sales Revenues</t>
  </si>
  <si>
    <t>Variable Costs</t>
  </si>
  <si>
    <t>Depreciation</t>
  </si>
  <si>
    <t>EBIT</t>
  </si>
  <si>
    <t>Tax</t>
  </si>
  <si>
    <t>Change in WC</t>
  </si>
  <si>
    <t>Net Project Cash Flows</t>
  </si>
  <si>
    <t>Net After Taxes</t>
  </si>
  <si>
    <t>Salvage Value</t>
  </si>
  <si>
    <t>Tax on Salvage Value</t>
  </si>
  <si>
    <t>NPV</t>
  </si>
  <si>
    <t>PV</t>
  </si>
  <si>
    <t>IRR</t>
  </si>
  <si>
    <t>Profitability Index</t>
  </si>
  <si>
    <t>Payback</t>
  </si>
  <si>
    <t>Project Length</t>
  </si>
  <si>
    <t>4 Years</t>
  </si>
  <si>
    <t>Scenario Analysis</t>
  </si>
  <si>
    <t>Base</t>
  </si>
  <si>
    <t>Worst</t>
  </si>
  <si>
    <t>Best</t>
  </si>
  <si>
    <t>Probability of Scenario</t>
  </si>
  <si>
    <t>Straight Line Depreciation</t>
  </si>
  <si>
    <t>Working Capital as % of next year's sales</t>
  </si>
  <si>
    <t>SP / Unit</t>
  </si>
  <si>
    <t>VC / Unit</t>
  </si>
  <si>
    <t>WACC</t>
  </si>
  <si>
    <t>Range</t>
  </si>
  <si>
    <t>Book Value:</t>
  </si>
  <si>
    <t xml:space="preserve">Tax Rate:  </t>
  </si>
  <si>
    <t>Cost Rate:</t>
  </si>
  <si>
    <t>Market Rate:</t>
  </si>
  <si>
    <t>Current Assets</t>
  </si>
  <si>
    <t>Current Liabilities</t>
  </si>
  <si>
    <t>Notes Payable</t>
  </si>
  <si>
    <t>Fixed Assets</t>
  </si>
  <si>
    <t>Bonds Payable</t>
  </si>
  <si>
    <t>Total Debt</t>
  </si>
  <si>
    <t>Total Assets</t>
  </si>
  <si>
    <t>Common Stock</t>
  </si>
  <si>
    <t>1 million shares</t>
  </si>
  <si>
    <t>Retained Earnings</t>
  </si>
  <si>
    <t>Total Equity</t>
  </si>
  <si>
    <t>Total Debt &amp; Equity</t>
  </si>
  <si>
    <t>Market Value</t>
  </si>
  <si>
    <t>Total Market Value</t>
  </si>
  <si>
    <t>Weight</t>
  </si>
  <si>
    <t>Cost</t>
  </si>
  <si>
    <t>WACC:</t>
  </si>
  <si>
    <t>Note Payable:</t>
  </si>
  <si>
    <t>Bonds Pay.:</t>
  </si>
  <si>
    <t>Stock:</t>
  </si>
  <si>
    <t>Market Value = $60/share</t>
  </si>
  <si>
    <t>20 years to maturity</t>
  </si>
  <si>
    <t>Bond coupons are annual</t>
  </si>
  <si>
    <t>Cost of Capital</t>
  </si>
  <si>
    <t>Return Analysis and Cash Flows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</si>
</sst>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2" applyFont="1"/>
    <xf numFmtId="43" fontId="0" fillId="0" borderId="0" xfId="1" applyFont="1"/>
    <xf numFmtId="164" fontId="0" fillId="0" borderId="0" xfId="3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2" applyFont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44" fontId="0" fillId="0" borderId="0" xfId="0" applyNumberFormat="1" applyFill="1"/>
    <xf numFmtId="0" fontId="0" fillId="0" borderId="1" xfId="0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44" fontId="0" fillId="0" borderId="0" xfId="2" applyFont="1" applyFill="1"/>
    <xf numFmtId="166" fontId="0" fillId="0" borderId="0" xfId="2" applyNumberFormat="1" applyFont="1" applyFill="1"/>
    <xf numFmtId="0" fontId="0" fillId="0" borderId="2" xfId="0" applyFill="1" applyBorder="1"/>
    <xf numFmtId="166" fontId="0" fillId="0" borderId="0" xfId="0" applyNumberFormat="1" applyFill="1"/>
    <xf numFmtId="166" fontId="0" fillId="0" borderId="1" xfId="2" applyNumberFormat="1" applyFont="1" applyFill="1" applyBorder="1"/>
    <xf numFmtId="166" fontId="0" fillId="0" borderId="1" xfId="0" applyNumberFormat="1" applyFill="1" applyBorder="1"/>
    <xf numFmtId="166" fontId="0" fillId="0" borderId="2" xfId="2" applyNumberFormat="1" applyFont="1" applyFill="1" applyBorder="1"/>
    <xf numFmtId="166" fontId="0" fillId="0" borderId="2" xfId="0" applyNumberFormat="1" applyFill="1" applyBorder="1"/>
    <xf numFmtId="6" fontId="0" fillId="0" borderId="1" xfId="0" applyNumberFormat="1" applyFill="1" applyBorder="1"/>
    <xf numFmtId="6" fontId="0" fillId="0" borderId="0" xfId="0" applyNumberFormat="1" applyFill="1"/>
    <xf numFmtId="166" fontId="2" fillId="2" borderId="0" xfId="0" applyNumberFormat="1" applyFont="1" applyFill="1"/>
    <xf numFmtId="10" fontId="2" fillId="2" borderId="0" xfId="0" applyNumberFormat="1" applyFont="1" applyFill="1"/>
    <xf numFmtId="10" fontId="0" fillId="0" borderId="0" xfId="0" applyNumberFormat="1" applyFill="1"/>
    <xf numFmtId="0" fontId="2" fillId="0" borderId="0" xfId="0" applyFont="1" applyFill="1"/>
    <xf numFmtId="43" fontId="2" fillId="2" borderId="0" xfId="1" applyNumberFormat="1" applyFont="1" applyFill="1"/>
    <xf numFmtId="10" fontId="0" fillId="0" borderId="0" xfId="3" applyNumberFormat="1" applyFont="1"/>
    <xf numFmtId="0" fontId="0" fillId="3" borderId="0" xfId="0" applyFill="1"/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6" xfId="0" applyBorder="1"/>
    <xf numFmtId="0" fontId="0" fillId="0" borderId="8" xfId="0" applyBorder="1"/>
    <xf numFmtId="9" fontId="0" fillId="0" borderId="0" xfId="0" applyNumberFormat="1" applyFill="1" applyBorder="1"/>
    <xf numFmtId="166" fontId="0" fillId="0" borderId="0" xfId="0" applyNumberFormat="1" applyFill="1" applyBorder="1"/>
    <xf numFmtId="0" fontId="0" fillId="0" borderId="1" xfId="0" applyFill="1" applyBorder="1"/>
    <xf numFmtId="166" fontId="0" fillId="2" borderId="9" xfId="0" applyNumberFormat="1" applyFill="1" applyBorder="1"/>
    <xf numFmtId="0" fontId="0" fillId="4" borderId="6" xfId="0" applyFill="1" applyBorder="1"/>
    <xf numFmtId="9" fontId="0" fillId="0" borderId="0" xfId="0" applyNumberFormat="1"/>
    <xf numFmtId="0" fontId="2" fillId="0" borderId="10" xfId="0" applyFont="1" applyBorder="1"/>
    <xf numFmtId="10" fontId="0" fillId="2" borderId="0" xfId="3" applyNumberFormat="1" applyFont="1" applyFill="1"/>
    <xf numFmtId="165" fontId="0" fillId="5" borderId="0" xfId="0" applyNumberFormat="1" applyFill="1"/>
    <xf numFmtId="44" fontId="0" fillId="5" borderId="0" xfId="0" applyNumberFormat="1" applyFill="1"/>
    <xf numFmtId="166" fontId="2" fillId="0" borderId="0" xfId="2" applyNumberFormat="1" applyFont="1"/>
    <xf numFmtId="166" fontId="0" fillId="0" borderId="0" xfId="2" applyNumberFormat="1" applyFont="1"/>
    <xf numFmtId="10" fontId="0" fillId="0" borderId="0" xfId="3" applyNumberFormat="1" applyFont="1" applyAlignment="1">
      <alignment horizontal="left"/>
    </xf>
    <xf numFmtId="166" fontId="3" fillId="0" borderId="0" xfId="2" applyNumberFormat="1" applyFont="1"/>
    <xf numFmtId="166" fontId="0" fillId="0" borderId="1" xfId="2" applyNumberFormat="1" applyFont="1" applyBorder="1"/>
    <xf numFmtId="166" fontId="0" fillId="6" borderId="0" xfId="2" applyNumberFormat="1" applyFont="1" applyFill="1"/>
    <xf numFmtId="166" fontId="0" fillId="7" borderId="0" xfId="2" applyNumberFormat="1" applyFont="1" applyFill="1"/>
    <xf numFmtId="10" fontId="0" fillId="0" borderId="1" xfId="3" applyNumberFormat="1" applyFont="1" applyBorder="1"/>
    <xf numFmtId="44" fontId="0" fillId="0" borderId="0" xfId="2" applyNumberFormat="1" applyFont="1"/>
    <xf numFmtId="10" fontId="0" fillId="0" borderId="2" xfId="3" applyNumberFormat="1" applyFont="1" applyBorder="1"/>
    <xf numFmtId="166" fontId="0" fillId="0" borderId="2" xfId="2" applyNumberFormat="1" applyFont="1" applyBorder="1"/>
    <xf numFmtId="9" fontId="0" fillId="0" borderId="0" xfId="3" applyFont="1"/>
    <xf numFmtId="166" fontId="2" fillId="6" borderId="0" xfId="2" applyNumberFormat="1" applyFont="1" applyFill="1"/>
    <xf numFmtId="10" fontId="2" fillId="6" borderId="0" xfId="3" applyNumberFormat="1" applyFont="1" applyFill="1"/>
    <xf numFmtId="43" fontId="0" fillId="0" borderId="0" xfId="1" applyFont="1" applyFill="1"/>
    <xf numFmtId="166" fontId="4" fillId="0" borderId="0" xfId="2" applyNumberFormat="1" applyFont="1"/>
    <xf numFmtId="2" fontId="0" fillId="0" borderId="0" xfId="0" applyNumberFormat="1" applyFill="1"/>
    <xf numFmtId="166" fontId="5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'Cash Flows '!$C$44</c:f>
              <c:strCache>
                <c:ptCount val="1"/>
                <c:pt idx="0">
                  <c:v>SP / Unit</c:v>
                </c:pt>
              </c:strCache>
            </c:strRef>
          </c:tx>
          <c:marker>
            <c:symbol val="none"/>
          </c:marker>
          <c:cat>
            <c:multiLvlStrRef>
              <c:f>'Cash Flows '!$A$45:$B$51</c:f>
            </c:multiLvlStrRef>
          </c:cat>
          <c:val>
            <c:numRef>
              <c:f>'Cash Flows '!$C$45:$C$51</c:f>
            </c:numRef>
          </c:val>
        </c:ser>
        <c:ser>
          <c:idx val="1"/>
          <c:order val="1"/>
          <c:tx>
            <c:strRef>
              <c:f>'Cash Flows '!$D$44</c:f>
              <c:strCache>
                <c:ptCount val="1"/>
                <c:pt idx="0">
                  <c:v>VC / Unit</c:v>
                </c:pt>
              </c:strCache>
            </c:strRef>
          </c:tx>
          <c:marker>
            <c:symbol val="none"/>
          </c:marker>
          <c:cat>
            <c:multiLvlStrRef>
              <c:f>'Cash Flows '!$A$45:$B$51</c:f>
            </c:multiLvlStrRef>
          </c:cat>
          <c:val>
            <c:numRef>
              <c:f>'Cash Flows '!$D$45:$D$51</c:f>
            </c:numRef>
          </c:val>
        </c:ser>
        <c:ser>
          <c:idx val="2"/>
          <c:order val="2"/>
          <c:tx>
            <c:strRef>
              <c:f>'Cash Flows '!$E$44</c:f>
              <c:strCache>
                <c:ptCount val="1"/>
                <c:pt idx="0">
                  <c:v>WACC</c:v>
                </c:pt>
              </c:strCache>
            </c:strRef>
          </c:tx>
          <c:marker>
            <c:symbol val="none"/>
          </c:marker>
          <c:cat>
            <c:multiLvlStrRef>
              <c:f>'Cash Flows '!$A$45:$B$51</c:f>
            </c:multiLvlStrRef>
          </c:cat>
          <c:val>
            <c:numRef>
              <c:f>'Cash Flows '!$E$45:$E$51</c:f>
            </c:numRef>
          </c:val>
        </c:ser>
        <c:marker val="1"/>
        <c:axId val="85458304"/>
        <c:axId val="85599360"/>
      </c:lineChart>
      <c:catAx>
        <c:axId val="85458304"/>
        <c:scaling>
          <c:orientation val="minMax"/>
        </c:scaling>
        <c:axPos val="b"/>
        <c:numFmt formatCode="General" sourceLinked="0"/>
        <c:tickLblPos val="nextTo"/>
        <c:crossAx val="85599360"/>
        <c:crosses val="autoZero"/>
        <c:auto val="1"/>
        <c:lblAlgn val="ctr"/>
        <c:lblOffset val="100"/>
      </c:catAx>
      <c:valAx>
        <c:axId val="85599360"/>
        <c:scaling>
          <c:orientation val="minMax"/>
        </c:scaling>
        <c:axPos val="l"/>
        <c:majorGridlines/>
        <c:numFmt formatCode="General" sourceLinked="1"/>
        <c:tickLblPos val="nextTo"/>
        <c:crossAx val="85458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'Cash Flows'!$C$43</c:f>
              <c:strCache>
                <c:ptCount val="1"/>
                <c:pt idx="0">
                  <c:v>SP / Unit</c:v>
                </c:pt>
              </c:strCache>
            </c:strRef>
          </c:tx>
          <c:marker>
            <c:symbol val="none"/>
          </c:marker>
          <c:cat>
            <c:strRef>
              <c:f>'Cash Flows'!$A$44:$B$50</c:f>
              <c:strCache>
                <c:ptCount val="7"/>
                <c:pt idx="0">
                  <c:v>-30%</c:v>
                </c:pt>
                <c:pt idx="1">
                  <c:v>-20%</c:v>
                </c:pt>
                <c:pt idx="2">
                  <c:v>-10%</c:v>
                </c:pt>
                <c:pt idx="3">
                  <c:v>0%</c:v>
                </c:pt>
                <c:pt idx="4">
                  <c:v>10%</c:v>
                </c:pt>
                <c:pt idx="5">
                  <c:v>20%</c:v>
                </c:pt>
                <c:pt idx="6">
                  <c:v>30%</c:v>
                </c:pt>
              </c:strCache>
            </c:strRef>
          </c:cat>
          <c:val>
            <c:numRef>
              <c:f>'Cash Flows'!$C$44:$C$50</c:f>
              <c:numCache>
                <c:formatCode>General</c:formatCode>
                <c:ptCount val="7"/>
                <c:pt idx="0">
                  <c:v>-4014</c:v>
                </c:pt>
                <c:pt idx="1">
                  <c:v>-2793</c:v>
                </c:pt>
                <c:pt idx="2">
                  <c:v>-1572</c:v>
                </c:pt>
                <c:pt idx="3">
                  <c:v>-351</c:v>
                </c:pt>
                <c:pt idx="4">
                  <c:v>870</c:v>
                </c:pt>
                <c:pt idx="5">
                  <c:v>2091</c:v>
                </c:pt>
                <c:pt idx="6">
                  <c:v>3312</c:v>
                </c:pt>
              </c:numCache>
            </c:numRef>
          </c:val>
        </c:ser>
        <c:ser>
          <c:idx val="1"/>
          <c:order val="1"/>
          <c:tx>
            <c:strRef>
              <c:f>'Cash Flows'!$D$43</c:f>
              <c:strCache>
                <c:ptCount val="1"/>
                <c:pt idx="0">
                  <c:v>VC / Unit</c:v>
                </c:pt>
              </c:strCache>
            </c:strRef>
          </c:tx>
          <c:marker>
            <c:symbol val="none"/>
          </c:marker>
          <c:cat>
            <c:strRef>
              <c:f>'Cash Flows'!$A$44:$B$50</c:f>
              <c:strCache>
                <c:ptCount val="7"/>
                <c:pt idx="0">
                  <c:v>-30%</c:v>
                </c:pt>
                <c:pt idx="1">
                  <c:v>-20%</c:v>
                </c:pt>
                <c:pt idx="2">
                  <c:v>-10%</c:v>
                </c:pt>
                <c:pt idx="3">
                  <c:v>0%</c:v>
                </c:pt>
                <c:pt idx="4">
                  <c:v>10%</c:v>
                </c:pt>
                <c:pt idx="5">
                  <c:v>20%</c:v>
                </c:pt>
                <c:pt idx="6">
                  <c:v>30%</c:v>
                </c:pt>
              </c:strCache>
            </c:strRef>
          </c:cat>
          <c:val>
            <c:numRef>
              <c:f>'Cash Flows'!$D$44:$D$50</c:f>
              <c:numCache>
                <c:formatCode>General</c:formatCode>
                <c:ptCount val="7"/>
                <c:pt idx="0">
                  <c:v>1585</c:v>
                </c:pt>
                <c:pt idx="1">
                  <c:v>940</c:v>
                </c:pt>
                <c:pt idx="2">
                  <c:v>294</c:v>
                </c:pt>
                <c:pt idx="3">
                  <c:v>-351</c:v>
                </c:pt>
                <c:pt idx="4">
                  <c:v>-996</c:v>
                </c:pt>
                <c:pt idx="5">
                  <c:v>-1641</c:v>
                </c:pt>
                <c:pt idx="6">
                  <c:v>-2286</c:v>
                </c:pt>
              </c:numCache>
            </c:numRef>
          </c:val>
        </c:ser>
        <c:ser>
          <c:idx val="2"/>
          <c:order val="2"/>
          <c:tx>
            <c:strRef>
              <c:f>'Cash Flows'!$E$43</c:f>
              <c:strCache>
                <c:ptCount val="1"/>
                <c:pt idx="0">
                  <c:v>WACC</c:v>
                </c:pt>
              </c:strCache>
            </c:strRef>
          </c:tx>
          <c:marker>
            <c:symbol val="none"/>
          </c:marker>
          <c:cat>
            <c:strRef>
              <c:f>'Cash Flows'!$A$44:$B$50</c:f>
              <c:strCache>
                <c:ptCount val="7"/>
                <c:pt idx="0">
                  <c:v>-30%</c:v>
                </c:pt>
                <c:pt idx="1">
                  <c:v>-20%</c:v>
                </c:pt>
                <c:pt idx="2">
                  <c:v>-10%</c:v>
                </c:pt>
                <c:pt idx="3">
                  <c:v>0%</c:v>
                </c:pt>
                <c:pt idx="4">
                  <c:v>10%</c:v>
                </c:pt>
                <c:pt idx="5">
                  <c:v>20%</c:v>
                </c:pt>
                <c:pt idx="6">
                  <c:v>30%</c:v>
                </c:pt>
              </c:strCache>
            </c:strRef>
          </c:cat>
          <c:val>
            <c:numRef>
              <c:f>'Cash Flows'!$E$44:$E$50</c:f>
              <c:numCache>
                <c:formatCode>General</c:formatCode>
                <c:ptCount val="7"/>
                <c:pt idx="0">
                  <c:v>-50</c:v>
                </c:pt>
                <c:pt idx="1">
                  <c:v>-154</c:v>
                </c:pt>
                <c:pt idx="2">
                  <c:v>-254</c:v>
                </c:pt>
                <c:pt idx="3">
                  <c:v>-351</c:v>
                </c:pt>
                <c:pt idx="4">
                  <c:v>-443</c:v>
                </c:pt>
                <c:pt idx="5">
                  <c:v>-533</c:v>
                </c:pt>
                <c:pt idx="6">
                  <c:v>-619</c:v>
                </c:pt>
              </c:numCache>
            </c:numRef>
          </c:val>
        </c:ser>
        <c:marker val="1"/>
        <c:axId val="85674240"/>
        <c:axId val="85696512"/>
      </c:lineChart>
      <c:catAx>
        <c:axId val="85674240"/>
        <c:scaling>
          <c:orientation val="minMax"/>
        </c:scaling>
        <c:axPos val="b"/>
        <c:numFmt formatCode="General" sourceLinked="0"/>
        <c:tickLblPos val="nextTo"/>
        <c:crossAx val="85696512"/>
        <c:crosses val="autoZero"/>
        <c:auto val="1"/>
        <c:lblAlgn val="ctr"/>
        <c:lblOffset val="100"/>
      </c:catAx>
      <c:valAx>
        <c:axId val="85696512"/>
        <c:scaling>
          <c:orientation val="minMax"/>
        </c:scaling>
        <c:axPos val="l"/>
        <c:majorGridlines/>
        <c:numFmt formatCode="General" sourceLinked="1"/>
        <c:tickLblPos val="nextTo"/>
        <c:crossAx val="856742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560916</xdr:colOff>
      <xdr:row>39</xdr:row>
      <xdr:rowOff>168273</xdr:rowOff>
    </xdr:from>
    <xdr:to>
      <xdr:col>14</xdr:col>
      <xdr:colOff>63499</xdr:colOff>
      <xdr:row>54</xdr:row>
      <xdr:rowOff>53973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560916</xdr:colOff>
      <xdr:row>38</xdr:row>
      <xdr:rowOff>168273</xdr:rowOff>
    </xdr:from>
    <xdr:to>
      <xdr:col>14</xdr:col>
      <xdr:colOff>63499</xdr:colOff>
      <xdr:row>53</xdr:row>
      <xdr:rowOff>53973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Normal="100" workbookViewId="0">
      <selection activeCell="B3" sqref="B3"/>
    </sheetView>
  </sheetViews>
  <sheetFormatPr defaultRowHeight="15"/>
  <cols>
    <col min="1" max="1" width="15.42578125" style="48" bestFit="1" customWidth="1"/>
    <col min="2" max="2" width="14.5703125" style="48" bestFit="1" customWidth="1"/>
    <col min="3" max="3" width="9.140625" style="48"/>
    <col min="4" max="4" width="18.42578125" style="48" bestFit="1" customWidth="1"/>
    <col min="5" max="5" width="15" style="48" bestFit="1" customWidth="1"/>
    <col min="6" max="7" width="9.140625" style="48"/>
    <col min="8" max="8" width="9.42578125" style="48" customWidth="1"/>
    <col min="9" max="9" width="13.85546875" style="48" bestFit="1" customWidth="1"/>
    <col min="10" max="16384" width="9.140625" style="48"/>
  </cols>
  <sheetData>
    <row r="1" spans="1:9" ht="15.75">
      <c r="A1" s="64" t="s">
        <v>79</v>
      </c>
    </row>
    <row r="2" spans="1:9" ht="17.25">
      <c r="A2" s="47" t="s">
        <v>52</v>
      </c>
      <c r="C2" s="48" t="s">
        <v>53</v>
      </c>
      <c r="D2" s="49">
        <v>0.25</v>
      </c>
      <c r="H2" s="50" t="s">
        <v>54</v>
      </c>
      <c r="I2" s="50" t="s">
        <v>55</v>
      </c>
    </row>
    <row r="4" spans="1:9">
      <c r="A4" s="48" t="s">
        <v>56</v>
      </c>
      <c r="B4" s="48">
        <v>30000000</v>
      </c>
      <c r="D4" s="48" t="s">
        <v>57</v>
      </c>
      <c r="E4" s="48">
        <v>20000000</v>
      </c>
      <c r="H4" s="29">
        <v>0</v>
      </c>
      <c r="I4" s="29">
        <v>0</v>
      </c>
    </row>
    <row r="5" spans="1:9">
      <c r="D5" s="48" t="s">
        <v>58</v>
      </c>
      <c r="E5" s="48">
        <v>10000000</v>
      </c>
      <c r="H5" s="29">
        <v>0.1</v>
      </c>
      <c r="I5" s="29">
        <v>0.1</v>
      </c>
    </row>
    <row r="6" spans="1:9">
      <c r="A6" s="48" t="s">
        <v>59</v>
      </c>
      <c r="B6" s="51">
        <v>70000000</v>
      </c>
      <c r="D6" s="48" t="s">
        <v>60</v>
      </c>
      <c r="E6" s="51">
        <v>30000000</v>
      </c>
      <c r="F6" s="62" t="s">
        <v>77</v>
      </c>
      <c r="H6" s="29">
        <v>0.06</v>
      </c>
      <c r="I6" s="29">
        <v>0.1</v>
      </c>
    </row>
    <row r="7" spans="1:9">
      <c r="D7" s="48" t="s">
        <v>61</v>
      </c>
      <c r="E7" s="48">
        <f>SUM(E4:E6)</f>
        <v>60000000</v>
      </c>
      <c r="F7" s="62" t="s">
        <v>78</v>
      </c>
    </row>
    <row r="8" spans="1:9">
      <c r="A8" s="48" t="s">
        <v>62</v>
      </c>
      <c r="B8" s="48">
        <f>SUM(B4:B6)</f>
        <v>100000000</v>
      </c>
    </row>
    <row r="9" spans="1:9">
      <c r="D9" s="48" t="s">
        <v>63</v>
      </c>
      <c r="E9" s="48">
        <v>1000000</v>
      </c>
      <c r="F9" s="62" t="s">
        <v>64</v>
      </c>
      <c r="H9" s="29">
        <v>0.15</v>
      </c>
      <c r="I9" s="29">
        <v>0.15</v>
      </c>
    </row>
    <row r="10" spans="1:9">
      <c r="D10" s="48" t="s">
        <v>65</v>
      </c>
      <c r="E10" s="51">
        <v>39000000</v>
      </c>
      <c r="F10" s="62" t="s">
        <v>76</v>
      </c>
    </row>
    <row r="11" spans="1:9">
      <c r="D11" s="48" t="s">
        <v>66</v>
      </c>
      <c r="E11" s="48">
        <f>SUM(E9:E10)</f>
        <v>40000000</v>
      </c>
    </row>
    <row r="13" spans="1:9">
      <c r="D13" s="48" t="s">
        <v>67</v>
      </c>
      <c r="E13" s="52">
        <f>E7+E11</f>
        <v>100000000</v>
      </c>
    </row>
    <row r="14" spans="1:9">
      <c r="A14" s="53"/>
      <c r="B14" s="53"/>
      <c r="C14" s="53"/>
      <c r="D14" s="53"/>
      <c r="E14" s="53"/>
      <c r="F14" s="53"/>
      <c r="G14" s="53"/>
      <c r="H14" s="53"/>
      <c r="I14" s="53"/>
    </row>
    <row r="15" spans="1:9">
      <c r="A15" s="47" t="s">
        <v>68</v>
      </c>
      <c r="C15" s="29">
        <f>E15/E21</f>
        <v>0.11137876170072875</v>
      </c>
      <c r="D15" s="48" t="s">
        <v>58</v>
      </c>
      <c r="E15" s="48">
        <v>10000000</v>
      </c>
    </row>
    <row r="16" spans="1:9">
      <c r="C16" s="54">
        <f>E16/E21</f>
        <v>0.22034866809489881</v>
      </c>
      <c r="D16" s="48" t="s">
        <v>60</v>
      </c>
      <c r="E16" s="51">
        <v>19783724</v>
      </c>
      <c r="F16" s="55">
        <f>PV(0.1,20,-60)</f>
        <v>510.81382318551385</v>
      </c>
      <c r="G16" s="55">
        <f>PV(0.1,20,,-1000)</f>
        <v>148.64362802414348</v>
      </c>
      <c r="H16" s="55">
        <f>SUM(F16:G16)</f>
        <v>659.45745120965739</v>
      </c>
      <c r="I16" s="48">
        <f>H16*30000</f>
        <v>19783723.536289722</v>
      </c>
    </row>
    <row r="17" spans="3:8">
      <c r="C17" s="29">
        <f>SUM(C15:C16)</f>
        <v>0.33172742979562753</v>
      </c>
      <c r="D17" s="48" t="s">
        <v>61</v>
      </c>
      <c r="E17" s="48">
        <f>SUM(E14:E16)</f>
        <v>29783724</v>
      </c>
    </row>
    <row r="19" spans="3:8" ht="15.75" thickBot="1">
      <c r="C19" s="56">
        <f>E19/E21</f>
        <v>0.66827257020437247</v>
      </c>
      <c r="D19" s="48" t="s">
        <v>63</v>
      </c>
      <c r="E19" s="57">
        <f>60*1000000</f>
        <v>60000000</v>
      </c>
      <c r="F19" s="48" t="s">
        <v>64</v>
      </c>
      <c r="H19" s="58"/>
    </row>
    <row r="20" spans="3:8" ht="15.75" thickTop="1"/>
    <row r="21" spans="3:8">
      <c r="C21" s="29">
        <f>C17+C19</f>
        <v>1</v>
      </c>
      <c r="D21" s="48" t="s">
        <v>69</v>
      </c>
      <c r="E21" s="59">
        <f>E17+E19</f>
        <v>89783724</v>
      </c>
    </row>
    <row r="22" spans="3:8">
      <c r="G22" s="48" t="s">
        <v>70</v>
      </c>
      <c r="H22" s="48" t="s">
        <v>71</v>
      </c>
    </row>
    <row r="23" spans="3:8">
      <c r="D23" s="48" t="s">
        <v>72</v>
      </c>
      <c r="E23" s="48" t="s">
        <v>73</v>
      </c>
      <c r="F23" s="29">
        <f>0.1*(0.75)</f>
        <v>7.5000000000000011E-2</v>
      </c>
      <c r="G23" s="29">
        <f>C15</f>
        <v>0.11137876170072875</v>
      </c>
      <c r="H23" s="29">
        <f>F23*G23</f>
        <v>8.353407127554658E-3</v>
      </c>
    </row>
    <row r="24" spans="3:8">
      <c r="E24" s="48" t="s">
        <v>74</v>
      </c>
      <c r="F24" s="29">
        <f>0.06*(0.75)</f>
        <v>4.4999999999999998E-2</v>
      </c>
      <c r="G24" s="29">
        <f>C16</f>
        <v>0.22034866809489881</v>
      </c>
      <c r="H24" s="29">
        <f t="shared" ref="H24:H25" si="0">F24*G24</f>
        <v>9.9156900642704462E-3</v>
      </c>
    </row>
    <row r="25" spans="3:8">
      <c r="E25" s="48" t="s">
        <v>75</v>
      </c>
      <c r="F25" s="29">
        <v>0.15</v>
      </c>
      <c r="G25" s="29">
        <f>C19</f>
        <v>0.66827257020437247</v>
      </c>
      <c r="H25" s="54">
        <f t="shared" si="0"/>
        <v>0.10024088553065587</v>
      </c>
    </row>
    <row r="26" spans="3:8">
      <c r="H26" s="60">
        <f>SUM(H23:H25)</f>
        <v>0.11850998272248098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Normal="100" workbookViewId="0">
      <selection activeCell="B6" sqref="B6"/>
    </sheetView>
  </sheetViews>
  <sheetFormatPr defaultRowHeight="15"/>
  <cols>
    <col min="1" max="1" width="37" bestFit="1" customWidth="1"/>
    <col min="2" max="2" width="11.140625" style="1" bestFit="1" customWidth="1"/>
  </cols>
  <sheetData>
    <row r="1" spans="1:2">
      <c r="A1" s="5" t="s">
        <v>0</v>
      </c>
      <c r="B1" s="6" t="s">
        <v>1</v>
      </c>
    </row>
    <row r="2" spans="1:2">
      <c r="A2" t="s">
        <v>2</v>
      </c>
      <c r="B2" s="1">
        <v>3400</v>
      </c>
    </row>
    <row r="3" spans="1:2">
      <c r="A3" t="s">
        <v>39</v>
      </c>
      <c r="B3" s="1" t="s">
        <v>40</v>
      </c>
    </row>
    <row r="4" spans="1:2">
      <c r="A4" t="s">
        <v>46</v>
      </c>
      <c r="B4" s="1">
        <f>3400/4</f>
        <v>850</v>
      </c>
    </row>
    <row r="5" spans="1:2">
      <c r="A5" t="s">
        <v>3</v>
      </c>
      <c r="B5" s="1">
        <v>300</v>
      </c>
    </row>
    <row r="6" spans="1:2">
      <c r="A6" t="s">
        <v>4</v>
      </c>
      <c r="B6" s="2">
        <v>550</v>
      </c>
    </row>
    <row r="7" spans="1:2">
      <c r="A7" t="s">
        <v>5</v>
      </c>
      <c r="B7" s="1">
        <v>11.6</v>
      </c>
    </row>
    <row r="8" spans="1:2">
      <c r="A8" t="s">
        <v>6</v>
      </c>
      <c r="B8" s="3">
        <v>0.02</v>
      </c>
    </row>
    <row r="9" spans="1:2">
      <c r="A9" t="s">
        <v>7</v>
      </c>
      <c r="B9" s="1">
        <v>6</v>
      </c>
    </row>
    <row r="10" spans="1:2">
      <c r="A10" t="s">
        <v>8</v>
      </c>
      <c r="B10" s="3">
        <v>0.02</v>
      </c>
    </row>
    <row r="11" spans="1:2">
      <c r="A11" t="s">
        <v>9</v>
      </c>
      <c r="B11" s="1">
        <v>2000</v>
      </c>
    </row>
    <row r="12" spans="1:2">
      <c r="A12" t="s">
        <v>10</v>
      </c>
      <c r="B12" s="3">
        <v>0.02</v>
      </c>
    </row>
    <row r="13" spans="1:2">
      <c r="A13" t="s">
        <v>11</v>
      </c>
      <c r="B13" s="44">
        <v>0.11849999999999999</v>
      </c>
    </row>
    <row r="14" spans="1:2">
      <c r="A14" t="s">
        <v>12</v>
      </c>
      <c r="B14" s="3">
        <v>0.4</v>
      </c>
    </row>
    <row r="15" spans="1:2">
      <c r="A15" t="s">
        <v>47</v>
      </c>
      <c r="B15" s="29">
        <v>0.12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90" zoomScaleNormal="90" workbookViewId="0">
      <selection activeCell="G12" sqref="G12"/>
    </sheetView>
  </sheetViews>
  <sheetFormatPr defaultRowHeight="15"/>
  <cols>
    <col min="1" max="1" width="21.5703125" bestFit="1" customWidth="1"/>
    <col min="2" max="2" width="5.42578125" bestFit="1" customWidth="1"/>
    <col min="3" max="3" width="11.7109375" bestFit="1" customWidth="1"/>
    <col min="4" max="5" width="11" bestFit="1" customWidth="1"/>
    <col min="6" max="6" width="13.28515625" bestFit="1" customWidth="1"/>
    <col min="7" max="7" width="11" bestFit="1" customWidth="1"/>
    <col min="8" max="8" width="9.85546875" bestFit="1" customWidth="1"/>
  </cols>
  <sheetData>
    <row r="1" spans="1:8" ht="15.75">
      <c r="A1" s="64" t="s">
        <v>80</v>
      </c>
    </row>
    <row r="2" spans="1:8">
      <c r="A2" s="7" t="s">
        <v>13</v>
      </c>
      <c r="B2" t="s">
        <v>14</v>
      </c>
      <c r="C2" s="5">
        <v>0</v>
      </c>
      <c r="D2" s="5">
        <v>1</v>
      </c>
      <c r="E2" s="5">
        <v>2</v>
      </c>
      <c r="F2" s="5">
        <v>3</v>
      </c>
      <c r="G2" s="5">
        <v>4</v>
      </c>
    </row>
    <row r="3" spans="1:8">
      <c r="A3" s="43" t="s">
        <v>1</v>
      </c>
    </row>
    <row r="4" spans="1:8">
      <c r="A4" t="s">
        <v>15</v>
      </c>
      <c r="B4" s="9"/>
      <c r="C4" s="9"/>
      <c r="D4" s="45">
        <v>550</v>
      </c>
      <c r="E4" s="45">
        <v>550</v>
      </c>
      <c r="F4" s="45">
        <v>550</v>
      </c>
      <c r="G4" s="45">
        <v>550</v>
      </c>
      <c r="H4" s="9"/>
    </row>
    <row r="5" spans="1:8">
      <c r="A5" t="s">
        <v>16</v>
      </c>
      <c r="B5" s="9"/>
      <c r="C5" s="9"/>
      <c r="D5" s="46">
        <v>11.6</v>
      </c>
      <c r="E5" s="46">
        <f>D5*1.02</f>
        <v>11.831999999999999</v>
      </c>
      <c r="F5" s="46">
        <f t="shared" ref="F5:G5" si="0">E5*1.02</f>
        <v>12.068639999999998</v>
      </c>
      <c r="G5" s="46">
        <f t="shared" si="0"/>
        <v>12.310012799999999</v>
      </c>
      <c r="H5" s="9"/>
    </row>
    <row r="6" spans="1:8">
      <c r="A6" t="s">
        <v>17</v>
      </c>
      <c r="B6" s="9"/>
      <c r="C6" s="9"/>
      <c r="D6" s="46">
        <v>6</v>
      </c>
      <c r="E6" s="46">
        <f>D6*1.02</f>
        <v>6.12</v>
      </c>
      <c r="F6" s="46">
        <f t="shared" ref="F6:G6" si="1">E6*1.02</f>
        <v>6.2423999999999999</v>
      </c>
      <c r="G6" s="46">
        <f t="shared" si="1"/>
        <v>6.367248</v>
      </c>
      <c r="H6" s="9"/>
    </row>
    <row r="7" spans="1:8">
      <c r="A7" t="s">
        <v>18</v>
      </c>
      <c r="B7" s="9"/>
      <c r="C7" s="9"/>
      <c r="D7" s="46">
        <v>2000</v>
      </c>
      <c r="E7" s="46">
        <f>D7*1.02</f>
        <v>2040</v>
      </c>
      <c r="F7" s="46">
        <f t="shared" ref="F7:G7" si="2">E7*1.02</f>
        <v>2080.8000000000002</v>
      </c>
      <c r="G7" s="46">
        <f t="shared" si="2"/>
        <v>2122.4160000000002</v>
      </c>
      <c r="H7" s="9"/>
    </row>
    <row r="8" spans="1:8">
      <c r="B8" s="9"/>
      <c r="C8" s="12" t="s">
        <v>19</v>
      </c>
      <c r="D8" s="12"/>
      <c r="E8" s="12"/>
      <c r="F8" s="12"/>
      <c r="G8" s="12"/>
      <c r="H8" s="9"/>
    </row>
    <row r="9" spans="1:8">
      <c r="B9" s="9" t="s">
        <v>14</v>
      </c>
      <c r="C9" s="13">
        <v>0</v>
      </c>
      <c r="D9" s="13">
        <v>1</v>
      </c>
      <c r="E9" s="13">
        <v>2</v>
      </c>
      <c r="F9" s="13">
        <v>3</v>
      </c>
      <c r="G9" s="13">
        <v>4</v>
      </c>
      <c r="H9" s="9"/>
    </row>
    <row r="10" spans="1:8">
      <c r="A10" s="7" t="s">
        <v>20</v>
      </c>
      <c r="B10" s="9"/>
      <c r="C10" s="9"/>
      <c r="D10" s="9"/>
      <c r="E10" s="9"/>
      <c r="F10" s="9"/>
      <c r="G10" s="9"/>
      <c r="H10" s="9"/>
    </row>
    <row r="11" spans="1:8">
      <c r="A11" t="s">
        <v>21</v>
      </c>
      <c r="B11" s="9"/>
      <c r="C11" s="14">
        <f>-3400</f>
        <v>-3400</v>
      </c>
      <c r="D11" s="9"/>
      <c r="E11" s="9"/>
      <c r="F11" s="9"/>
      <c r="G11" s="9"/>
      <c r="H11" s="9"/>
    </row>
    <row r="12" spans="1:8">
      <c r="A12" t="s">
        <v>22</v>
      </c>
      <c r="B12" s="9"/>
      <c r="C12" s="15">
        <f>((D4*D5)*0.12)*-1</f>
        <v>-765.6</v>
      </c>
      <c r="D12" s="9"/>
      <c r="E12" s="9"/>
      <c r="F12" s="9"/>
      <c r="G12" s="9"/>
      <c r="H12" s="9"/>
    </row>
    <row r="13" spans="1:8">
      <c r="B13" s="9"/>
      <c r="C13" s="9"/>
      <c r="D13" s="9"/>
      <c r="E13" s="9"/>
      <c r="F13" s="9"/>
      <c r="G13" s="9"/>
      <c r="H13" s="9"/>
    </row>
    <row r="14" spans="1:8">
      <c r="A14" s="7" t="s">
        <v>23</v>
      </c>
      <c r="B14" s="9"/>
      <c r="C14" s="9"/>
      <c r="D14" s="9"/>
      <c r="E14" s="9"/>
      <c r="F14" s="9"/>
      <c r="G14" s="9"/>
      <c r="H14" s="9"/>
    </row>
    <row r="15" spans="1:8">
      <c r="A15" s="8" t="s">
        <v>24</v>
      </c>
      <c r="B15" s="9"/>
      <c r="C15" s="9"/>
      <c r="D15" s="15">
        <f>D4*D5</f>
        <v>6380</v>
      </c>
      <c r="E15" s="15">
        <f t="shared" ref="E15:G15" si="3">E4*E5</f>
        <v>6507.5999999999995</v>
      </c>
      <c r="F15" s="15">
        <f t="shared" si="3"/>
        <v>6637.7519999999995</v>
      </c>
      <c r="G15" s="15">
        <f t="shared" si="3"/>
        <v>6770.5070399999995</v>
      </c>
      <c r="H15" s="17">
        <f>SUM(D15:G15)</f>
        <v>26295.859039999999</v>
      </c>
    </row>
    <row r="16" spans="1:8">
      <c r="A16" s="8" t="s">
        <v>25</v>
      </c>
      <c r="B16" s="9"/>
      <c r="C16" s="9"/>
      <c r="D16" s="15">
        <f>D4*D6</f>
        <v>3300</v>
      </c>
      <c r="E16" s="15">
        <f t="shared" ref="E16:G16" si="4">E4*E6</f>
        <v>3366</v>
      </c>
      <c r="F16" s="15">
        <f t="shared" si="4"/>
        <v>3433.32</v>
      </c>
      <c r="G16" s="15">
        <f t="shared" si="4"/>
        <v>3501.9864000000002</v>
      </c>
      <c r="H16" s="9"/>
    </row>
    <row r="17" spans="1:8">
      <c r="A17" s="8" t="s">
        <v>18</v>
      </c>
      <c r="B17" s="9"/>
      <c r="C17" s="9"/>
      <c r="D17" s="17">
        <f>D7</f>
        <v>2000</v>
      </c>
      <c r="E17" s="17">
        <f t="shared" ref="E17:G17" si="5">E7</f>
        <v>2040</v>
      </c>
      <c r="F17" s="17">
        <f t="shared" si="5"/>
        <v>2080.8000000000002</v>
      </c>
      <c r="G17" s="17">
        <f t="shared" si="5"/>
        <v>2122.4160000000002</v>
      </c>
      <c r="H17" s="9"/>
    </row>
    <row r="18" spans="1:8">
      <c r="A18" s="8" t="s">
        <v>26</v>
      </c>
      <c r="B18" s="9"/>
      <c r="C18" s="9"/>
      <c r="D18" s="18">
        <v>850</v>
      </c>
      <c r="E18" s="18">
        <v>850</v>
      </c>
      <c r="F18" s="18">
        <v>850</v>
      </c>
      <c r="G18" s="18">
        <v>850</v>
      </c>
      <c r="H18" s="17">
        <f>SUM(D18:G18)</f>
        <v>3400</v>
      </c>
    </row>
    <row r="19" spans="1:8">
      <c r="A19" s="8" t="s">
        <v>27</v>
      </c>
      <c r="B19" s="9"/>
      <c r="C19" s="9"/>
      <c r="D19" s="17">
        <f>D15-D16-D17-D18</f>
        <v>230</v>
      </c>
      <c r="E19" s="17">
        <f t="shared" ref="E19:G19" si="6">E15-E16-E17-E18</f>
        <v>251.59999999999945</v>
      </c>
      <c r="F19" s="17">
        <f t="shared" si="6"/>
        <v>273.63199999999915</v>
      </c>
      <c r="G19" s="17">
        <f t="shared" si="6"/>
        <v>296.10463999999911</v>
      </c>
      <c r="H19" s="9"/>
    </row>
    <row r="20" spans="1:8">
      <c r="A20" s="8" t="s">
        <v>28</v>
      </c>
      <c r="B20" s="9"/>
      <c r="C20" s="9"/>
      <c r="D20" s="19">
        <f>D19*0.4</f>
        <v>92</v>
      </c>
      <c r="E20" s="19">
        <f t="shared" ref="E20:G20" si="7">E19*0.4</f>
        <v>100.63999999999979</v>
      </c>
      <c r="F20" s="19">
        <f t="shared" si="7"/>
        <v>109.45279999999967</v>
      </c>
      <c r="G20" s="19">
        <f t="shared" si="7"/>
        <v>118.44185599999965</v>
      </c>
      <c r="H20" s="9"/>
    </row>
    <row r="21" spans="1:8">
      <c r="A21" s="8" t="s">
        <v>31</v>
      </c>
      <c r="B21" s="9"/>
      <c r="C21" s="9"/>
      <c r="D21" s="17">
        <f>D19-D20</f>
        <v>138</v>
      </c>
      <c r="E21" s="17">
        <f t="shared" ref="E21:G21" si="8">E19-E20</f>
        <v>150.95999999999967</v>
      </c>
      <c r="F21" s="17">
        <f t="shared" si="8"/>
        <v>164.17919999999947</v>
      </c>
      <c r="G21" s="17">
        <f t="shared" si="8"/>
        <v>177.66278399999948</v>
      </c>
      <c r="H21" s="17">
        <f>SUM(D21:G21)</f>
        <v>630.80198399999858</v>
      </c>
    </row>
    <row r="22" spans="1:8">
      <c r="A22" s="8" t="s">
        <v>26</v>
      </c>
      <c r="B22" s="9"/>
      <c r="C22" s="9"/>
      <c r="D22" s="17">
        <f>D18</f>
        <v>850</v>
      </c>
      <c r="E22" s="17">
        <f t="shared" ref="E22:G22" si="9">E18</f>
        <v>850</v>
      </c>
      <c r="F22" s="17">
        <f t="shared" si="9"/>
        <v>850</v>
      </c>
      <c r="G22" s="17">
        <f t="shared" si="9"/>
        <v>850</v>
      </c>
      <c r="H22" s="9"/>
    </row>
    <row r="23" spans="1:8">
      <c r="A23" s="8" t="s">
        <v>32</v>
      </c>
      <c r="B23" s="9"/>
      <c r="C23" s="9"/>
      <c r="D23" s="17">
        <v>0</v>
      </c>
      <c r="E23" s="17">
        <v>0</v>
      </c>
      <c r="F23" s="17">
        <v>0</v>
      </c>
      <c r="G23" s="17">
        <v>300</v>
      </c>
      <c r="H23" s="9"/>
    </row>
    <row r="24" spans="1:8">
      <c r="A24" s="8" t="s">
        <v>33</v>
      </c>
      <c r="B24" s="9"/>
      <c r="C24" s="9"/>
      <c r="D24" s="17">
        <v>0</v>
      </c>
      <c r="E24" s="17">
        <v>0</v>
      </c>
      <c r="F24" s="17">
        <v>0</v>
      </c>
      <c r="G24" s="17">
        <f>(G23*0.4)*-1</f>
        <v>-120</v>
      </c>
      <c r="H24" s="9"/>
    </row>
    <row r="25" spans="1:8" ht="15.75" thickBot="1">
      <c r="A25" s="8" t="s">
        <v>29</v>
      </c>
      <c r="B25" s="9"/>
      <c r="C25" s="16"/>
      <c r="D25" s="20">
        <f>((E15-D15)*0.12)*-1</f>
        <v>-15.311999999999934</v>
      </c>
      <c r="E25" s="20">
        <f t="shared" ref="E25:F25" si="10">((F15-E15)*0.12)*-1</f>
        <v>-15.618240000000005</v>
      </c>
      <c r="F25" s="20">
        <f t="shared" si="10"/>
        <v>-15.930604800000001</v>
      </c>
      <c r="G25" s="21">
        <f>(C12+D25+E25+F25)*-1</f>
        <v>812.4608447999999</v>
      </c>
      <c r="H25" s="9"/>
    </row>
    <row r="26" spans="1:8" ht="15.75" thickTop="1">
      <c r="B26" s="9"/>
      <c r="C26" s="9"/>
      <c r="D26" s="9"/>
      <c r="E26" s="9"/>
      <c r="F26" s="9"/>
      <c r="G26" s="9"/>
      <c r="H26" s="9"/>
    </row>
    <row r="27" spans="1:8">
      <c r="A27" t="s">
        <v>30</v>
      </c>
      <c r="B27" s="9"/>
      <c r="C27" s="17">
        <f>C11+C12</f>
        <v>-4165.6000000000004</v>
      </c>
      <c r="D27" s="17">
        <f>D21+D22+D25</f>
        <v>972.6880000000001</v>
      </c>
      <c r="E27" s="17">
        <f t="shared" ref="E27:F27" si="11">E21+E22+E25</f>
        <v>985.34175999999968</v>
      </c>
      <c r="F27" s="17">
        <f t="shared" si="11"/>
        <v>998.2485951999995</v>
      </c>
      <c r="G27" s="17">
        <f>G21+G22+G23+G24+G25</f>
        <v>2020.1236287999993</v>
      </c>
      <c r="H27" s="17">
        <f>SUM(D27:G27)</f>
        <v>4976.4019839999983</v>
      </c>
    </row>
    <row r="28" spans="1:8">
      <c r="B28" s="9"/>
      <c r="C28" s="23"/>
      <c r="D28" s="9"/>
      <c r="E28" s="9"/>
      <c r="F28" s="9"/>
      <c r="G28" s="9"/>
      <c r="H28" s="9"/>
    </row>
    <row r="29" spans="1:8">
      <c r="A29" t="s">
        <v>35</v>
      </c>
      <c r="B29" s="9"/>
      <c r="C29" s="22">
        <f>NPV(0.1185,D27:G27)</f>
        <v>3661.3747427838452</v>
      </c>
      <c r="D29" s="23">
        <f>PV(0.1185,1,,-D27)</f>
        <v>869.63611980330802</v>
      </c>
      <c r="E29" s="23">
        <f>PV(0.1185,2,,-E27)</f>
        <v>787.61669320120859</v>
      </c>
      <c r="F29" s="23">
        <f>PV(0.1185,3,,-F27)</f>
        <v>713.3961190508478</v>
      </c>
      <c r="G29" s="23">
        <f>PV(0.1185,4,,-G27)</f>
        <v>1290.7258107284813</v>
      </c>
      <c r="H29" s="23">
        <f>NPV(0.1185,D27:G27)</f>
        <v>3661.3747427838452</v>
      </c>
    </row>
    <row r="30" spans="1:8">
      <c r="A30" s="4" t="s">
        <v>34</v>
      </c>
      <c r="B30" s="27"/>
      <c r="C30" s="24">
        <f>C27+C29</f>
        <v>-504.22525721615511</v>
      </c>
      <c r="D30" s="9"/>
      <c r="E30" s="9"/>
      <c r="F30" s="9"/>
      <c r="G30" s="9"/>
      <c r="H30" s="9"/>
    </row>
    <row r="31" spans="1:8">
      <c r="B31" s="9"/>
      <c r="C31" s="9"/>
      <c r="D31" s="9"/>
      <c r="E31" s="9"/>
      <c r="F31" s="9"/>
      <c r="G31" s="9"/>
      <c r="H31" s="9"/>
    </row>
    <row r="32" spans="1:8">
      <c r="A32" s="4" t="s">
        <v>36</v>
      </c>
      <c r="B32" s="27"/>
      <c r="C32" s="25">
        <f>IRR(C27:G27)</f>
        <v>6.6229890008535186E-2</v>
      </c>
      <c r="D32" s="26">
        <f>IRR(C27:G27)</f>
        <v>6.6229890008535186E-2</v>
      </c>
      <c r="E32" s="9"/>
      <c r="F32" s="9"/>
      <c r="G32" s="9"/>
      <c r="H32" s="9"/>
    </row>
    <row r="33" spans="1:8">
      <c r="A33" s="4"/>
      <c r="B33" s="27"/>
      <c r="C33" s="27"/>
      <c r="D33" s="9"/>
      <c r="E33" s="9"/>
      <c r="F33" s="9"/>
      <c r="G33" s="9"/>
      <c r="H33" s="9"/>
    </row>
    <row r="34" spans="1:8">
      <c r="A34" s="4" t="s">
        <v>37</v>
      </c>
      <c r="B34" s="27"/>
      <c r="C34" s="28">
        <f>C29/-C27</f>
        <v>0.87895495073551111</v>
      </c>
      <c r="D34" s="9"/>
      <c r="E34" s="9"/>
      <c r="F34" s="9"/>
      <c r="G34" s="9"/>
      <c r="H34" s="9"/>
    </row>
    <row r="35" spans="1:8">
      <c r="B35" s="9"/>
      <c r="C35" s="9"/>
      <c r="D35" s="9"/>
      <c r="E35" s="9"/>
      <c r="F35" s="9"/>
      <c r="G35" s="9"/>
      <c r="H35" s="9"/>
    </row>
    <row r="36" spans="1:8">
      <c r="A36" s="4" t="s">
        <v>38</v>
      </c>
      <c r="B36" s="9"/>
      <c r="C36" s="17"/>
      <c r="D36" s="17">
        <f>C27+D27</f>
        <v>-3192.9120000000003</v>
      </c>
      <c r="E36" s="17">
        <f>D36+E27</f>
        <v>-2207.5702400000005</v>
      </c>
      <c r="F36" s="17">
        <f>E36+F27</f>
        <v>-1209.321644800001</v>
      </c>
      <c r="G36" s="17">
        <f>F36+G27</f>
        <v>810.80198399999836</v>
      </c>
      <c r="H36" s="9"/>
    </row>
    <row r="37" spans="1:8">
      <c r="B37" s="9"/>
      <c r="C37" s="28">
        <f>3+0.6</f>
        <v>3.6</v>
      </c>
      <c r="D37" s="61"/>
      <c r="E37" s="9"/>
      <c r="F37" s="9"/>
      <c r="G37" s="63">
        <f>-F36/G27</f>
        <v>0.59863744355010906</v>
      </c>
      <c r="H37" s="9"/>
    </row>
    <row r="38" spans="1:8" hidden="1">
      <c r="B38" s="9"/>
      <c r="C38" s="9"/>
      <c r="D38" s="9"/>
      <c r="E38" s="9"/>
      <c r="F38" s="9"/>
      <c r="G38" s="9"/>
      <c r="H38" s="9"/>
    </row>
    <row r="39" spans="1:8" hidden="1">
      <c r="A39" s="31" t="s">
        <v>41</v>
      </c>
      <c r="B39" s="32"/>
      <c r="C39" s="32" t="s">
        <v>42</v>
      </c>
      <c r="D39" s="32" t="s">
        <v>43</v>
      </c>
      <c r="E39" s="32" t="s">
        <v>44</v>
      </c>
      <c r="F39" s="33"/>
      <c r="G39" s="9"/>
      <c r="H39" s="9"/>
    </row>
    <row r="40" spans="1:8" hidden="1">
      <c r="A40" s="41" t="s">
        <v>45</v>
      </c>
      <c r="B40" s="8"/>
      <c r="C40" s="37">
        <v>0.55000000000000004</v>
      </c>
      <c r="D40" s="37">
        <v>0.25</v>
      </c>
      <c r="E40" s="37">
        <v>0.2</v>
      </c>
      <c r="F40" s="34"/>
      <c r="G40" s="9"/>
      <c r="H40" s="9"/>
    </row>
    <row r="41" spans="1:8" hidden="1">
      <c r="A41" s="35" t="s">
        <v>34</v>
      </c>
      <c r="B41" s="8"/>
      <c r="C41" s="38">
        <v>-351</v>
      </c>
      <c r="D41" s="38">
        <v>-1503</v>
      </c>
      <c r="E41" s="38">
        <v>801</v>
      </c>
      <c r="F41" s="34"/>
      <c r="G41" s="9"/>
      <c r="H41" s="9"/>
    </row>
    <row r="42" spans="1:8" hidden="1">
      <c r="A42" s="36" t="s">
        <v>45</v>
      </c>
      <c r="B42" s="39"/>
      <c r="C42" s="19">
        <f>C41*0.55</f>
        <v>-193.05</v>
      </c>
      <c r="D42" s="19">
        <f>D41*0.25</f>
        <v>-375.75</v>
      </c>
      <c r="E42" s="19">
        <f>E41*0.2</f>
        <v>160.20000000000002</v>
      </c>
      <c r="F42" s="40">
        <f>SUM(C42:E42)</f>
        <v>-408.59999999999991</v>
      </c>
      <c r="G42" s="9"/>
      <c r="H42" s="9"/>
    </row>
    <row r="43" spans="1:8" hidden="1"/>
    <row r="44" spans="1:8" hidden="1">
      <c r="A44" s="30"/>
      <c r="C44" t="s">
        <v>48</v>
      </c>
      <c r="D44" t="s">
        <v>49</v>
      </c>
      <c r="E44" t="s">
        <v>50</v>
      </c>
    </row>
    <row r="45" spans="1:8" hidden="1">
      <c r="A45" s="42">
        <v>-0.3</v>
      </c>
      <c r="C45">
        <v>-4014</v>
      </c>
      <c r="D45">
        <v>1585</v>
      </c>
      <c r="E45">
        <v>-50</v>
      </c>
    </row>
    <row r="46" spans="1:8" hidden="1">
      <c r="A46" s="42">
        <v>-0.2</v>
      </c>
      <c r="C46">
        <v>-2793</v>
      </c>
      <c r="D46">
        <v>940</v>
      </c>
      <c r="E46">
        <v>-154</v>
      </c>
    </row>
    <row r="47" spans="1:8" hidden="1">
      <c r="A47" s="42">
        <v>-0.1</v>
      </c>
      <c r="C47">
        <v>-1572</v>
      </c>
      <c r="D47">
        <v>294</v>
      </c>
      <c r="E47">
        <v>-254</v>
      </c>
    </row>
    <row r="48" spans="1:8" hidden="1">
      <c r="A48" s="42">
        <v>0</v>
      </c>
      <c r="C48">
        <v>-351</v>
      </c>
      <c r="D48">
        <v>-351</v>
      </c>
      <c r="E48">
        <v>-351</v>
      </c>
    </row>
    <row r="49" spans="1:5" hidden="1">
      <c r="A49" s="42">
        <v>0.1</v>
      </c>
      <c r="C49">
        <v>870</v>
      </c>
      <c r="D49">
        <v>-996</v>
      </c>
      <c r="E49">
        <v>-443</v>
      </c>
    </row>
    <row r="50" spans="1:5" hidden="1">
      <c r="A50" s="42">
        <v>0.2</v>
      </c>
      <c r="C50">
        <v>2091</v>
      </c>
      <c r="D50">
        <v>-1641</v>
      </c>
      <c r="E50">
        <v>-533</v>
      </c>
    </row>
    <row r="51" spans="1:5" hidden="1">
      <c r="A51" s="42">
        <v>0.3</v>
      </c>
      <c r="C51" s="7">
        <v>3312</v>
      </c>
      <c r="D51" s="7">
        <v>-2286</v>
      </c>
      <c r="E51" s="7">
        <v>-619</v>
      </c>
    </row>
    <row r="52" spans="1:5" hidden="1">
      <c r="A52" t="s">
        <v>51</v>
      </c>
      <c r="C52">
        <f>3312+4014</f>
        <v>7326</v>
      </c>
      <c r="D52">
        <f>1585+2286</f>
        <v>3871</v>
      </c>
      <c r="E52">
        <f>50+619</f>
        <v>669</v>
      </c>
    </row>
    <row r="53" spans="1:5" hidden="1"/>
    <row r="54" spans="1:5" hidden="1"/>
    <row r="55" spans="1:5" hidden="1"/>
    <row r="56" spans="1:5" hidden="1"/>
  </sheetData>
  <pageMargins left="0.33" right="0.28999999999999998" top="0.75" bottom="0.75" header="0.3" footer="0.3"/>
  <pageSetup scale="88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="90" zoomScaleNormal="90" workbookViewId="0">
      <selection activeCell="D35" sqref="D35"/>
    </sheetView>
  </sheetViews>
  <sheetFormatPr defaultRowHeight="15"/>
  <cols>
    <col min="1" max="1" width="21.5703125" bestFit="1" customWidth="1"/>
    <col min="2" max="2" width="5.42578125" bestFit="1" customWidth="1"/>
    <col min="3" max="3" width="11.7109375" bestFit="1" customWidth="1"/>
    <col min="4" max="5" width="11" bestFit="1" customWidth="1"/>
    <col min="6" max="6" width="13.28515625" bestFit="1" customWidth="1"/>
    <col min="7" max="7" width="11" bestFit="1" customWidth="1"/>
    <col min="8" max="8" width="9.85546875" bestFit="1" customWidth="1"/>
  </cols>
  <sheetData>
    <row r="1" spans="1:8">
      <c r="A1" s="7" t="s">
        <v>13</v>
      </c>
      <c r="B1" t="s">
        <v>14</v>
      </c>
      <c r="C1" s="5">
        <v>0</v>
      </c>
      <c r="D1" s="5">
        <v>1</v>
      </c>
      <c r="E1" s="5">
        <v>2</v>
      </c>
      <c r="F1" s="5">
        <v>3</v>
      </c>
      <c r="G1" s="5">
        <v>4</v>
      </c>
    </row>
    <row r="2" spans="1:8">
      <c r="A2" s="43" t="s">
        <v>1</v>
      </c>
    </row>
    <row r="3" spans="1:8">
      <c r="A3" t="s">
        <v>15</v>
      </c>
      <c r="B3" s="9"/>
      <c r="C3" s="9"/>
      <c r="D3" s="10">
        <v>550</v>
      </c>
      <c r="E3" s="10">
        <v>550</v>
      </c>
      <c r="F3" s="10">
        <v>550</v>
      </c>
      <c r="G3" s="10">
        <v>550</v>
      </c>
      <c r="H3" s="9"/>
    </row>
    <row r="4" spans="1:8">
      <c r="A4" t="s">
        <v>16</v>
      </c>
      <c r="B4" s="9"/>
      <c r="C4" s="9"/>
      <c r="D4" s="11">
        <f>Inputs!B7</f>
        <v>11.6</v>
      </c>
      <c r="E4" s="11">
        <f t="shared" ref="E4:G5" si="0">D4*1.02</f>
        <v>11.831999999999999</v>
      </c>
      <c r="F4" s="11">
        <f t="shared" si="0"/>
        <v>12.068639999999998</v>
      </c>
      <c r="G4" s="11">
        <f t="shared" si="0"/>
        <v>12.310012799999999</v>
      </c>
      <c r="H4" s="9"/>
    </row>
    <row r="5" spans="1:8">
      <c r="A5" t="s">
        <v>17</v>
      </c>
      <c r="B5" s="9"/>
      <c r="C5" s="9"/>
      <c r="D5" s="11">
        <v>6</v>
      </c>
      <c r="E5" s="11">
        <f t="shared" si="0"/>
        <v>6.12</v>
      </c>
      <c r="F5" s="11">
        <f t="shared" si="0"/>
        <v>6.2423999999999999</v>
      </c>
      <c r="G5" s="11">
        <f t="shared" si="0"/>
        <v>6.367248</v>
      </c>
      <c r="H5" s="9"/>
    </row>
    <row r="6" spans="1:8">
      <c r="A6" t="s">
        <v>18</v>
      </c>
      <c r="B6" s="9"/>
      <c r="C6" s="9"/>
      <c r="D6" s="11">
        <f>Inputs!B11</f>
        <v>2000</v>
      </c>
      <c r="E6" s="11">
        <f>D6*1.02</f>
        <v>2040</v>
      </c>
      <c r="F6" s="11">
        <f t="shared" ref="F6:G6" si="1">E6*1.02</f>
        <v>2080.8000000000002</v>
      </c>
      <c r="G6" s="11">
        <f t="shared" si="1"/>
        <v>2122.4160000000002</v>
      </c>
      <c r="H6" s="9"/>
    </row>
    <row r="7" spans="1:8">
      <c r="B7" s="9"/>
      <c r="C7" s="12" t="s">
        <v>19</v>
      </c>
      <c r="D7" s="12"/>
      <c r="E7" s="12"/>
      <c r="F7" s="12"/>
      <c r="G7" s="12"/>
      <c r="H7" s="9"/>
    </row>
    <row r="8" spans="1:8">
      <c r="B8" s="9" t="s">
        <v>14</v>
      </c>
      <c r="C8" s="13">
        <v>0</v>
      </c>
      <c r="D8" s="13">
        <v>1</v>
      </c>
      <c r="E8" s="13">
        <v>2</v>
      </c>
      <c r="F8" s="13">
        <v>3</v>
      </c>
      <c r="G8" s="13">
        <v>4</v>
      </c>
      <c r="H8" s="9"/>
    </row>
    <row r="9" spans="1:8">
      <c r="A9" s="7" t="s">
        <v>20</v>
      </c>
      <c r="B9" s="9"/>
      <c r="C9" s="9"/>
      <c r="D9" s="9"/>
      <c r="E9" s="9"/>
      <c r="F9" s="9"/>
      <c r="G9" s="9"/>
      <c r="H9" s="9"/>
    </row>
    <row r="10" spans="1:8">
      <c r="A10" t="s">
        <v>21</v>
      </c>
      <c r="B10" s="9"/>
      <c r="C10" s="14">
        <f>-3400</f>
        <v>-3400</v>
      </c>
      <c r="D10" s="9"/>
      <c r="E10" s="9"/>
      <c r="F10" s="9"/>
      <c r="G10" s="9"/>
      <c r="H10" s="9"/>
    </row>
    <row r="11" spans="1:8">
      <c r="A11" t="s">
        <v>22</v>
      </c>
      <c r="B11" s="9"/>
      <c r="C11" s="15">
        <f>((D3*D4)*0.1265)*-1</f>
        <v>-807.07</v>
      </c>
      <c r="D11" s="9"/>
      <c r="E11" s="9"/>
      <c r="F11" s="9"/>
      <c r="G11" s="9"/>
      <c r="H11" s="9"/>
    </row>
    <row r="12" spans="1:8">
      <c r="B12" s="9"/>
      <c r="C12" s="9"/>
      <c r="D12" s="9"/>
      <c r="E12" s="9"/>
      <c r="F12" s="9"/>
      <c r="G12" s="9"/>
      <c r="H12" s="9"/>
    </row>
    <row r="13" spans="1:8">
      <c r="A13" s="7" t="s">
        <v>23</v>
      </c>
      <c r="B13" s="9"/>
      <c r="C13" s="9"/>
      <c r="D13" s="9"/>
      <c r="E13" s="9"/>
      <c r="F13" s="9"/>
      <c r="G13" s="9"/>
      <c r="H13" s="9"/>
    </row>
    <row r="14" spans="1:8">
      <c r="A14" s="8" t="s">
        <v>24</v>
      </c>
      <c r="B14" s="9"/>
      <c r="C14" s="9"/>
      <c r="D14" s="15">
        <f>D3*D4</f>
        <v>6380</v>
      </c>
      <c r="E14" s="15">
        <f t="shared" ref="E14:G14" si="2">E3*E4</f>
        <v>6507.5999999999995</v>
      </c>
      <c r="F14" s="15">
        <f t="shared" si="2"/>
        <v>6637.7519999999995</v>
      </c>
      <c r="G14" s="15">
        <f t="shared" si="2"/>
        <v>6770.5070399999995</v>
      </c>
      <c r="H14" s="17">
        <f>SUM(D14:G14)</f>
        <v>26295.859039999999</v>
      </c>
    </row>
    <row r="15" spans="1:8">
      <c r="A15" s="8" t="s">
        <v>25</v>
      </c>
      <c r="B15" s="9"/>
      <c r="C15" s="9"/>
      <c r="D15" s="15">
        <f>D3*D5</f>
        <v>3300</v>
      </c>
      <c r="E15" s="15">
        <f t="shared" ref="E15:G15" si="3">E3*E5</f>
        <v>3366</v>
      </c>
      <c r="F15" s="15">
        <f t="shared" si="3"/>
        <v>3433.32</v>
      </c>
      <c r="G15" s="15">
        <f t="shared" si="3"/>
        <v>3501.9864000000002</v>
      </c>
      <c r="H15" s="9"/>
    </row>
    <row r="16" spans="1:8">
      <c r="A16" s="8" t="s">
        <v>18</v>
      </c>
      <c r="B16" s="9"/>
      <c r="C16" s="9"/>
      <c r="D16" s="17">
        <f>D6</f>
        <v>2000</v>
      </c>
      <c r="E16" s="17">
        <f t="shared" ref="E16:G16" si="4">E6</f>
        <v>2040</v>
      </c>
      <c r="F16" s="17">
        <f t="shared" si="4"/>
        <v>2080.8000000000002</v>
      </c>
      <c r="G16" s="17">
        <f t="shared" si="4"/>
        <v>2122.4160000000002</v>
      </c>
      <c r="H16" s="9"/>
    </row>
    <row r="17" spans="1:8">
      <c r="A17" s="8" t="s">
        <v>26</v>
      </c>
      <c r="B17" s="9"/>
      <c r="C17" s="9"/>
      <c r="D17" s="18">
        <v>850</v>
      </c>
      <c r="E17" s="18">
        <v>850</v>
      </c>
      <c r="F17" s="18">
        <v>850</v>
      </c>
      <c r="G17" s="18">
        <v>850</v>
      </c>
      <c r="H17" s="17">
        <f>SUM(D17:G17)</f>
        <v>3400</v>
      </c>
    </row>
    <row r="18" spans="1:8">
      <c r="A18" s="8" t="s">
        <v>27</v>
      </c>
      <c r="B18" s="9"/>
      <c r="C18" s="9"/>
      <c r="D18" s="17">
        <f>D14-D15-D16-D17</f>
        <v>230</v>
      </c>
      <c r="E18" s="17">
        <f t="shared" ref="E18:G18" si="5">E14-E15-E16-E17</f>
        <v>251.59999999999945</v>
      </c>
      <c r="F18" s="17">
        <f t="shared" si="5"/>
        <v>273.63199999999915</v>
      </c>
      <c r="G18" s="17">
        <f t="shared" si="5"/>
        <v>296.10463999999911</v>
      </c>
      <c r="H18" s="9"/>
    </row>
    <row r="19" spans="1:8">
      <c r="A19" s="8" t="s">
        <v>28</v>
      </c>
      <c r="B19" s="9"/>
      <c r="C19" s="9"/>
      <c r="D19" s="19">
        <f>D18*0.4</f>
        <v>92</v>
      </c>
      <c r="E19" s="19">
        <f t="shared" ref="E19:G19" si="6">E18*0.4</f>
        <v>100.63999999999979</v>
      </c>
      <c r="F19" s="19">
        <f t="shared" si="6"/>
        <v>109.45279999999967</v>
      </c>
      <c r="G19" s="19">
        <f t="shared" si="6"/>
        <v>118.44185599999965</v>
      </c>
      <c r="H19" s="9"/>
    </row>
    <row r="20" spans="1:8">
      <c r="A20" s="8" t="s">
        <v>31</v>
      </c>
      <c r="B20" s="9"/>
      <c r="C20" s="9"/>
      <c r="D20" s="17">
        <f>D18-D19</f>
        <v>138</v>
      </c>
      <c r="E20" s="17">
        <f t="shared" ref="E20:G20" si="7">E18-E19</f>
        <v>150.95999999999967</v>
      </c>
      <c r="F20" s="17">
        <f t="shared" si="7"/>
        <v>164.17919999999947</v>
      </c>
      <c r="G20" s="17">
        <f t="shared" si="7"/>
        <v>177.66278399999948</v>
      </c>
      <c r="H20" s="17">
        <f>SUM(D20:G20)</f>
        <v>630.80198399999858</v>
      </c>
    </row>
    <row r="21" spans="1:8">
      <c r="A21" s="8" t="s">
        <v>26</v>
      </c>
      <c r="B21" s="9"/>
      <c r="C21" s="9"/>
      <c r="D21" s="17">
        <f>D17</f>
        <v>850</v>
      </c>
      <c r="E21" s="17">
        <f t="shared" ref="E21:G21" si="8">E17</f>
        <v>850</v>
      </c>
      <c r="F21" s="17">
        <f t="shared" si="8"/>
        <v>850</v>
      </c>
      <c r="G21" s="17">
        <f t="shared" si="8"/>
        <v>850</v>
      </c>
      <c r="H21" s="9"/>
    </row>
    <row r="22" spans="1:8">
      <c r="A22" s="8" t="s">
        <v>32</v>
      </c>
      <c r="B22" s="9"/>
      <c r="C22" s="9"/>
      <c r="D22" s="17">
        <v>0</v>
      </c>
      <c r="E22" s="17">
        <v>0</v>
      </c>
      <c r="F22" s="17">
        <v>0</v>
      </c>
      <c r="G22" s="17">
        <v>300</v>
      </c>
      <c r="H22" s="9"/>
    </row>
    <row r="23" spans="1:8">
      <c r="A23" s="8" t="s">
        <v>33</v>
      </c>
      <c r="B23" s="9"/>
      <c r="C23" s="9"/>
      <c r="D23" s="17">
        <v>0</v>
      </c>
      <c r="E23" s="17">
        <v>0</v>
      </c>
      <c r="F23" s="17">
        <v>0</v>
      </c>
      <c r="G23" s="17">
        <f>(G22*0.4)*-1</f>
        <v>-120</v>
      </c>
      <c r="H23" s="9"/>
    </row>
    <row r="24" spans="1:8" ht="15.75" thickBot="1">
      <c r="A24" s="8" t="s">
        <v>29</v>
      </c>
      <c r="B24" s="9"/>
      <c r="C24" s="16"/>
      <c r="D24" s="20">
        <f>((E14-D14)*0.1265)*-1</f>
        <v>-16.14139999999993</v>
      </c>
      <c r="E24" s="20">
        <f t="shared" ref="E24:F24" si="9">((F14-E14)*0.1265)*-1</f>
        <v>-16.464228000000006</v>
      </c>
      <c r="F24" s="20">
        <f t="shared" si="9"/>
        <v>-16.79351256</v>
      </c>
      <c r="G24" s="21">
        <f>(C11+D24+E24+F24)*-1</f>
        <v>856.46914056000003</v>
      </c>
      <c r="H24" s="9"/>
    </row>
    <row r="25" spans="1:8" ht="15.75" thickTop="1">
      <c r="B25" s="9"/>
      <c r="C25" s="9"/>
      <c r="D25" s="9"/>
      <c r="E25" s="9"/>
      <c r="F25" s="9"/>
      <c r="G25" s="9"/>
      <c r="H25" s="9"/>
    </row>
    <row r="26" spans="1:8">
      <c r="A26" t="s">
        <v>30</v>
      </c>
      <c r="B26" s="9"/>
      <c r="C26" s="17">
        <f>C10+C11</f>
        <v>-4207.07</v>
      </c>
      <c r="D26" s="17">
        <f>D20+D21+D24</f>
        <v>971.85860000000002</v>
      </c>
      <c r="E26" s="17">
        <f t="shared" ref="E26:F26" si="10">E20+E21+E24</f>
        <v>984.49577199999965</v>
      </c>
      <c r="F26" s="17">
        <f t="shared" si="10"/>
        <v>997.38568743999951</v>
      </c>
      <c r="G26" s="17">
        <f>G20+G21+G22+G23+G24</f>
        <v>2064.1319245599993</v>
      </c>
      <c r="H26" s="17">
        <f>SUM(D26:G26)</f>
        <v>5017.8719839999985</v>
      </c>
    </row>
    <row r="27" spans="1:8">
      <c r="B27" s="9"/>
      <c r="C27" s="23"/>
      <c r="D27" s="9"/>
      <c r="E27" s="9"/>
      <c r="F27" s="9"/>
      <c r="G27" s="9"/>
      <c r="H27" s="9"/>
    </row>
    <row r="28" spans="1:8">
      <c r="A28" t="s">
        <v>35</v>
      </c>
      <c r="B28" s="9"/>
      <c r="C28" s="22">
        <f>NPV(0.1185,D26:G26)</f>
        <v>3687.4587117883507</v>
      </c>
      <c r="D28" s="23">
        <f>PV(0.1185,1,,-D26)</f>
        <v>868.89459097004919</v>
      </c>
      <c r="E28" s="23">
        <f>PV(0.1185,2,,-E26)</f>
        <v>786.94046663891618</v>
      </c>
      <c r="F28" s="23">
        <f>PV(0.1185,3,,-F26)</f>
        <v>712.77944395604391</v>
      </c>
      <c r="G28" s="23">
        <f>PV(0.1185,4,,-G26)</f>
        <v>1318.8442102233414</v>
      </c>
      <c r="H28" s="23">
        <f>NPV(0.1185,D26:G26)</f>
        <v>3687.4587117883507</v>
      </c>
    </row>
    <row r="29" spans="1:8">
      <c r="A29" s="4" t="s">
        <v>34</v>
      </c>
      <c r="B29" s="27"/>
      <c r="C29" s="24">
        <f>C26+C28</f>
        <v>-519.61128821164903</v>
      </c>
      <c r="D29" s="9"/>
      <c r="E29" s="9"/>
      <c r="F29" s="9"/>
      <c r="G29" s="9"/>
      <c r="H29" s="9"/>
    </row>
    <row r="30" spans="1:8">
      <c r="B30" s="9"/>
      <c r="C30" s="9"/>
      <c r="D30" s="9"/>
      <c r="E30" s="9"/>
      <c r="F30" s="9"/>
      <c r="G30" s="9"/>
      <c r="H30" s="9"/>
    </row>
    <row r="31" spans="1:8">
      <c r="A31" s="4" t="s">
        <v>36</v>
      </c>
      <c r="B31" s="27"/>
      <c r="C31" s="25">
        <f>IRR(C26:G26)</f>
        <v>6.5336544173055552E-2</v>
      </c>
      <c r="D31" s="26"/>
      <c r="E31" s="9"/>
      <c r="F31" s="9"/>
      <c r="G31" s="9"/>
      <c r="H31" s="9"/>
    </row>
    <row r="32" spans="1:8">
      <c r="A32" s="4"/>
      <c r="B32" s="27"/>
      <c r="C32" s="27"/>
      <c r="D32" s="9"/>
      <c r="E32" s="9"/>
      <c r="F32" s="9"/>
      <c r="G32" s="9"/>
      <c r="H32" s="9"/>
    </row>
    <row r="33" spans="1:8">
      <c r="A33" s="4" t="s">
        <v>37</v>
      </c>
      <c r="B33" s="27"/>
      <c r="C33" s="28">
        <f>C28/4207</f>
        <v>0.87650551742057303</v>
      </c>
      <c r="D33" s="9"/>
      <c r="E33" s="9"/>
      <c r="F33" s="9"/>
      <c r="G33" s="9"/>
      <c r="H33" s="9"/>
    </row>
    <row r="34" spans="1:8">
      <c r="B34" s="9"/>
      <c r="C34" s="9"/>
      <c r="D34" s="9"/>
      <c r="E34" s="9"/>
      <c r="F34" s="9"/>
      <c r="G34" s="9"/>
      <c r="H34" s="9"/>
    </row>
    <row r="35" spans="1:8">
      <c r="A35" s="4" t="s">
        <v>38</v>
      </c>
      <c r="B35" s="9"/>
      <c r="C35" s="17">
        <v>-4207</v>
      </c>
      <c r="D35" s="17">
        <f>C35+D26</f>
        <v>-3235.1414</v>
      </c>
      <c r="E35" s="17">
        <f>D35+E26</f>
        <v>-2250.6456280000002</v>
      </c>
      <c r="F35" s="17">
        <f>E35+F26</f>
        <v>-1253.2599405600008</v>
      </c>
      <c r="G35" s="17">
        <f>F35+G26</f>
        <v>810.87198399999852</v>
      </c>
      <c r="H35" s="9"/>
    </row>
    <row r="36" spans="1:8">
      <c r="B36" s="9"/>
      <c r="C36" s="28">
        <f>PERCENTRANK(C35:G35,0.6)*G1</f>
        <v>3.6040000000000001</v>
      </c>
      <c r="D36" s="9"/>
      <c r="E36" s="9"/>
      <c r="F36" s="9"/>
      <c r="G36" s="9">
        <f>1253/2064</f>
        <v>0.60707364341085268</v>
      </c>
      <c r="H36" s="9"/>
    </row>
    <row r="37" spans="1:8">
      <c r="B37" s="9"/>
      <c r="C37" s="9"/>
      <c r="D37" s="9"/>
      <c r="E37" s="9"/>
      <c r="F37" s="9"/>
      <c r="G37" s="9"/>
      <c r="H37" s="9"/>
    </row>
    <row r="38" spans="1:8">
      <c r="A38" s="31" t="s">
        <v>41</v>
      </c>
      <c r="B38" s="32"/>
      <c r="C38" s="32" t="s">
        <v>42</v>
      </c>
      <c r="D38" s="32" t="s">
        <v>43</v>
      </c>
      <c r="E38" s="32" t="s">
        <v>44</v>
      </c>
      <c r="F38" s="33"/>
      <c r="G38" s="9"/>
      <c r="H38" s="9"/>
    </row>
    <row r="39" spans="1:8">
      <c r="A39" s="41" t="s">
        <v>45</v>
      </c>
      <c r="B39" s="8"/>
      <c r="C39" s="37">
        <v>0.55000000000000004</v>
      </c>
      <c r="D39" s="37">
        <v>0.25</v>
      </c>
      <c r="E39" s="37">
        <v>0.2</v>
      </c>
      <c r="F39" s="34"/>
      <c r="G39" s="9"/>
      <c r="H39" s="9"/>
    </row>
    <row r="40" spans="1:8">
      <c r="A40" s="35" t="s">
        <v>34</v>
      </c>
      <c r="B40" s="8"/>
      <c r="C40" s="38">
        <v>-351</v>
      </c>
      <c r="D40" s="38">
        <v>-1503</v>
      </c>
      <c r="E40" s="38">
        <v>801</v>
      </c>
      <c r="F40" s="34"/>
      <c r="G40" s="9"/>
      <c r="H40" s="9"/>
    </row>
    <row r="41" spans="1:8">
      <c r="A41" s="36" t="s">
        <v>45</v>
      </c>
      <c r="B41" s="39"/>
      <c r="C41" s="19">
        <f>C40*0.55</f>
        <v>-193.05</v>
      </c>
      <c r="D41" s="19">
        <f>D40*0.25</f>
        <v>-375.75</v>
      </c>
      <c r="E41" s="19">
        <f>E40*0.2</f>
        <v>160.20000000000002</v>
      </c>
      <c r="F41" s="40">
        <f>SUM(C41:E41)</f>
        <v>-408.59999999999991</v>
      </c>
      <c r="G41" s="9"/>
      <c r="H41" s="9"/>
    </row>
    <row r="43" spans="1:8">
      <c r="A43" s="30"/>
      <c r="C43" t="s">
        <v>48</v>
      </c>
      <c r="D43" t="s">
        <v>49</v>
      </c>
      <c r="E43" t="s">
        <v>50</v>
      </c>
    </row>
    <row r="44" spans="1:8">
      <c r="A44" s="42">
        <v>-0.3</v>
      </c>
      <c r="C44">
        <v>-4014</v>
      </c>
      <c r="D44">
        <v>1585</v>
      </c>
      <c r="E44">
        <v>-50</v>
      </c>
    </row>
    <row r="45" spans="1:8">
      <c r="A45" s="42">
        <v>-0.2</v>
      </c>
      <c r="C45">
        <v>-2793</v>
      </c>
      <c r="D45">
        <v>940</v>
      </c>
      <c r="E45">
        <v>-154</v>
      </c>
    </row>
    <row r="46" spans="1:8">
      <c r="A46" s="42">
        <v>-0.1</v>
      </c>
      <c r="C46">
        <v>-1572</v>
      </c>
      <c r="D46">
        <v>294</v>
      </c>
      <c r="E46">
        <v>-254</v>
      </c>
    </row>
    <row r="47" spans="1:8">
      <c r="A47" s="42">
        <v>0</v>
      </c>
      <c r="C47">
        <v>-351</v>
      </c>
      <c r="D47">
        <v>-351</v>
      </c>
      <c r="E47">
        <v>-351</v>
      </c>
    </row>
    <row r="48" spans="1:8">
      <c r="A48" s="42">
        <v>0.1</v>
      </c>
      <c r="C48">
        <v>870</v>
      </c>
      <c r="D48">
        <v>-996</v>
      </c>
      <c r="E48">
        <v>-443</v>
      </c>
    </row>
    <row r="49" spans="1:5">
      <c r="A49" s="42">
        <v>0.2</v>
      </c>
      <c r="C49">
        <v>2091</v>
      </c>
      <c r="D49">
        <v>-1641</v>
      </c>
      <c r="E49">
        <v>-533</v>
      </c>
    </row>
    <row r="50" spans="1:5">
      <c r="A50" s="42">
        <v>0.3</v>
      </c>
      <c r="C50" s="7">
        <v>3312</v>
      </c>
      <c r="D50" s="7">
        <v>-2286</v>
      </c>
      <c r="E50" s="7">
        <v>-619</v>
      </c>
    </row>
    <row r="51" spans="1:5">
      <c r="A51" t="s">
        <v>51</v>
      </c>
      <c r="C51">
        <f>3312+4014</f>
        <v>7326</v>
      </c>
      <c r="D51">
        <f>1585+2286</f>
        <v>3871</v>
      </c>
      <c r="E51">
        <f>50+619</f>
        <v>669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WACC at  Market</vt:lpstr>
      <vt:lpstr>Inputs</vt:lpstr>
      <vt:lpstr>Cash Flows </vt:lpstr>
      <vt:lpstr>Cash Flows</vt:lpstr>
      <vt:lpstr>'Cash Flows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Hasse</dc:creator>
  <cp:lastModifiedBy>davidalxx@hotmail.com</cp:lastModifiedBy>
  <cp:lastPrinted>2016-02-14T00:24:32Z</cp:lastPrinted>
  <dcterms:created xsi:type="dcterms:W3CDTF">2012-01-31T23:24:13Z</dcterms:created>
  <dcterms:modified xsi:type="dcterms:W3CDTF">2016-02-23T17:51:05Z</dcterms:modified>
</cp:coreProperties>
</file>