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21600" windowHeight="13740" firstSheet="1" activeTab="2"/>
  </bookViews>
  <sheets>
    <sheet name="Required" sheetId="1" r:id="rId1"/>
    <sheet name="Balance Sheet" sheetId="2" r:id="rId2"/>
    <sheet name="Income Statement" sheetId="3" r:id="rId3"/>
    <sheet name="Assumptions" sheetId="4" r:id="rId4"/>
    <sheet name="Checklist" sheetId="5" r:id="rId5"/>
    <sheet name="sale" sheetId="6" r:id="rId6"/>
    <sheet name="mortgage" sheetId="7" r:id="rId7"/>
    <sheet name="depreciation" sheetId="8" r:id="rId8"/>
    <sheet name="taxes" sheetId="9" r:id="rId9"/>
  </sheets>
  <definedNames/>
  <calcPr fullCalcOnLoad="1"/>
</workbook>
</file>

<file path=xl/sharedStrings.xml><?xml version="1.0" encoding="utf-8"?>
<sst xmlns="http://schemas.openxmlformats.org/spreadsheetml/2006/main" count="263" uniqueCount="221">
  <si>
    <t>4/1/x10</t>
  </si>
  <si>
    <t>7/1/x10</t>
  </si>
  <si>
    <t>10/1/x10</t>
  </si>
  <si>
    <t>1/1/x11</t>
  </si>
  <si>
    <t>4/1/x11</t>
  </si>
  <si>
    <t>7/1/x11</t>
  </si>
  <si>
    <t>10/1/x11</t>
  </si>
  <si>
    <t>1/1/x12</t>
  </si>
  <si>
    <t>4/1/x12</t>
  </si>
  <si>
    <t>7/1/x12</t>
  </si>
  <si>
    <t>10/1/x12</t>
  </si>
  <si>
    <t>1/1/x13</t>
  </si>
  <si>
    <t>4/1/x13</t>
  </si>
  <si>
    <t>7/1/x13</t>
  </si>
  <si>
    <t>10/1/x13</t>
  </si>
  <si>
    <t>1/1/x14</t>
  </si>
  <si>
    <t>4/1/x14</t>
  </si>
  <si>
    <t>7/1/x14</t>
  </si>
  <si>
    <t>10/1/x14</t>
  </si>
  <si>
    <t>1/1/x15</t>
  </si>
  <si>
    <t>4/1/x15</t>
  </si>
  <si>
    <t>7/1/x15</t>
  </si>
  <si>
    <t>10/1/x15</t>
  </si>
  <si>
    <t>1/1/x16</t>
  </si>
  <si>
    <t>4/1/x16</t>
  </si>
  <si>
    <t>7/1/x16</t>
  </si>
  <si>
    <t>10/1/x16</t>
  </si>
  <si>
    <t>1/1/x17</t>
  </si>
  <si>
    <t>4/1/x17</t>
  </si>
  <si>
    <t>7/1/x17</t>
  </si>
  <si>
    <t>10/1/x17</t>
  </si>
  <si>
    <t>1/1/x18</t>
  </si>
  <si>
    <t>4/1/x18</t>
  </si>
  <si>
    <t>7/1/x18</t>
  </si>
  <si>
    <t>10/1/x18</t>
  </si>
  <si>
    <t>1/1/x19</t>
  </si>
  <si>
    <t>4/1/x19</t>
  </si>
  <si>
    <t>7/1/x19</t>
  </si>
  <si>
    <t>10/1/x19</t>
  </si>
  <si>
    <t>1/1/x20</t>
  </si>
  <si>
    <t>4/1/x20</t>
  </si>
  <si>
    <t>7/1/x20</t>
  </si>
  <si>
    <t>10/1/x20</t>
  </si>
  <si>
    <t>old Equip</t>
  </si>
  <si>
    <t>New Equip</t>
  </si>
  <si>
    <t>Plant</t>
  </si>
  <si>
    <t>Land</t>
  </si>
  <si>
    <t>Depreciation Expense</t>
  </si>
  <si>
    <t>cost</t>
  </si>
  <si>
    <t>old equip</t>
  </si>
  <si>
    <t>Dep. Expense</t>
  </si>
  <si>
    <t>cost unit</t>
  </si>
  <si>
    <t>Beg. Inventory</t>
  </si>
  <si>
    <t>Prchases</t>
  </si>
  <si>
    <t>less: Endong Inventory</t>
  </si>
  <si>
    <t>COGS/sales</t>
  </si>
  <si>
    <t>goods available for slaes</t>
  </si>
  <si>
    <t>Units</t>
  </si>
  <si>
    <t>wages expense</t>
  </si>
  <si>
    <t>Depre. Expense</t>
  </si>
  <si>
    <t>Intrest Expense</t>
  </si>
  <si>
    <t>Misc expense</t>
  </si>
  <si>
    <t>Total Operating expenses</t>
  </si>
  <si>
    <t>Bracket</t>
  </si>
  <si>
    <t>Beg. Bracket</t>
  </si>
  <si>
    <t>End Bracket</t>
  </si>
  <si>
    <t>+</t>
  </si>
  <si>
    <t>Rates</t>
  </si>
  <si>
    <t>Tax Due</t>
  </si>
  <si>
    <t>Taxable Income</t>
  </si>
  <si>
    <t xml:space="preserve">The abridged income statement in year zero (X0) needs some explanation. “Operating expenses” includes many accounts, such as wage expense, lease expense, etc. You will need to add a few line items to make the income statement more realistic. For instance, at a minimum you will need to add lines for miscellaneous expense, wage expense, depreciation expense, and interest expense.  In the base year, all expenses are lumped together as “operating expenses”. In future income statements (X1-X5) you will need to show all material expenses as separate line items. </t>
  </si>
  <si>
    <r>
      <t xml:space="preserve">As the balance sheet shows, the firm needs $200,000 in the cash account for transactions purposes. The firm takes any extra cash and invests the cash in marketable securities. You have an option of investing in corporate securities or municipal securities. The corporate securities have a return of 4.9% and the municipal securities have a return of 4.1%, but the municipal securities are federal income tax-free. Interest revenue is calculated by taking the previous year’s ending balance in marketable securities and multiplying by the rate of return from the type of securities selected. </t>
    </r>
    <r>
      <rPr>
        <b/>
        <sz val="12"/>
        <color indexed="8"/>
        <rFont val="Times New Roman"/>
        <family val="1"/>
      </rPr>
      <t>For instance, if you decide to invest in municipal securities during year one, (X1), and had $1,000,000 in marketable securities at the end of year zero, and an interest rate of 4%, interest revenue for year X1 would be $40,000 ($1,000,000 * 0.04 = $40,000).</t>
    </r>
    <r>
      <rPr>
        <sz val="12"/>
        <color indexed="8"/>
        <rFont val="Times New Roman"/>
        <family val="1"/>
      </rPr>
      <t xml:space="preserve"> This calculation of interest revenue is simplistic and obviously unrealistic, but will keep you from having a circular logic problem in your Excel modeling. </t>
    </r>
  </si>
  <si>
    <t>The par value of the stock is $0.20 (twenty cents per share). The particular exchange on which this stock is traded requires that the company have a minimum of 500,000 shares outstanding at all times.</t>
  </si>
  <si>
    <t>Sales in units</t>
  </si>
  <si>
    <t>Sales price unit</t>
  </si>
  <si>
    <t>Rev</t>
  </si>
  <si>
    <t>x0</t>
  </si>
  <si>
    <t>x1</t>
  </si>
  <si>
    <t>x2</t>
  </si>
  <si>
    <t>x3</t>
  </si>
  <si>
    <t>x4</t>
  </si>
  <si>
    <t>x5</t>
  </si>
  <si>
    <t>assumptions</t>
  </si>
  <si>
    <t>assumption</t>
  </si>
  <si>
    <t>Amt</t>
  </si>
  <si>
    <t>i</t>
  </si>
  <si>
    <t>n</t>
  </si>
  <si>
    <t>pmt</t>
  </si>
  <si>
    <t>Data</t>
  </si>
  <si>
    <t>Pmt</t>
  </si>
  <si>
    <t>Interest</t>
  </si>
  <si>
    <t>Reduction in prencipile</t>
  </si>
  <si>
    <t>balance outstand</t>
  </si>
  <si>
    <t>total interest</t>
  </si>
  <si>
    <t>total principle</t>
  </si>
  <si>
    <t>1/1/x1</t>
  </si>
  <si>
    <t>4/1/x1</t>
  </si>
  <si>
    <t>7/1/x1</t>
  </si>
  <si>
    <t>10/1/x1</t>
  </si>
  <si>
    <t>1/1/x2</t>
  </si>
  <si>
    <t>4/1/x2</t>
  </si>
  <si>
    <t>7/1/x2</t>
  </si>
  <si>
    <t>10/1/x2</t>
  </si>
  <si>
    <t>1/1/x3</t>
  </si>
  <si>
    <t>4/1/x3</t>
  </si>
  <si>
    <t>7/1/x3</t>
  </si>
  <si>
    <t>10/1/x3</t>
  </si>
  <si>
    <t>1/1/x4</t>
  </si>
  <si>
    <t>4/1/x4</t>
  </si>
  <si>
    <t>7/1/x4</t>
  </si>
  <si>
    <t>10/1/x4</t>
  </si>
  <si>
    <t>1/1/x5</t>
  </si>
  <si>
    <t>4/1/x5</t>
  </si>
  <si>
    <t>7/1/x5</t>
  </si>
  <si>
    <t>10/1/x5</t>
  </si>
  <si>
    <t>1/1/x6</t>
  </si>
  <si>
    <t>4/1/x6</t>
  </si>
  <si>
    <t>7/1/x6</t>
  </si>
  <si>
    <t>10/1/x6</t>
  </si>
  <si>
    <t>1/1/x7</t>
  </si>
  <si>
    <t>4/1/x7</t>
  </si>
  <si>
    <t>7/1/x7</t>
  </si>
  <si>
    <t>10/1/x7</t>
  </si>
  <si>
    <t>1/1/x8</t>
  </si>
  <si>
    <t>4/1/x8</t>
  </si>
  <si>
    <t>7/1/x8</t>
  </si>
  <si>
    <t>10/1/x8</t>
  </si>
  <si>
    <t>1/1/x9</t>
  </si>
  <si>
    <t>4/1/x9</t>
  </si>
  <si>
    <t>7/1/x9</t>
  </si>
  <si>
    <t>10/1/x9</t>
  </si>
  <si>
    <t>1/1/x10</t>
  </si>
  <si>
    <t>Acct 522              Spring 2012              Financial Statement Project</t>
  </si>
  <si>
    <t>Acct 522                                           Spring 2012</t>
  </si>
  <si>
    <t>On 1/1/X1 the company purchased additional land, plant, and equipment totaling $7,500,000.  You must decide how much is allocated to each category and how you will depreciate each category. Remember that each category has different depreciation rules. Be sure to show the “Historical Cost” for each category (property, plant and equipment) and the associated amount of accumulated depreciation on the balance sheet. You must also decide how the original equipment was depreciated and its asset life.</t>
  </si>
  <si>
    <t>On 1/1/X1 the company took out a mortgage to cover part of the cost of the purchases.  The interest rate is 5.0%, the payments are quarterly and the maturity is 20 years. You must decide how much of a loan you think you will need, given your current financial structure.  You also have the option of selling common stock to raise some of the money to pay for the asset expansion. You must take out a loan for at least $1,500,000. The maximum amount you can borrow is $8,000,000. You must decide the optimum amount of debt and equity. Please include a loan amortization schedule of your particular loan that shows the interest expense for each year.</t>
  </si>
  <si>
    <r>
      <t xml:space="preserve">To make the analysis less complicated, assume </t>
    </r>
    <r>
      <rPr>
        <b/>
        <sz val="12"/>
        <color indexed="8"/>
        <rFont val="Times New Roman"/>
        <family val="1"/>
      </rPr>
      <t>all</t>
    </r>
    <r>
      <rPr>
        <sz val="12"/>
        <color indexed="8"/>
        <rFont val="Times New Roman"/>
        <family val="1"/>
      </rPr>
      <t xml:space="preserve"> units in ending inventory at 12/31/X0, units in CGS, have a unit cost of $22.  In successive years, the number of units in the ending balance of inventory will increase by 6.0% each year.  The unit cost of inventory increases by 4% each year.                  </t>
    </r>
    <r>
      <rPr>
        <b/>
        <i/>
        <sz val="12"/>
        <color indexed="8"/>
        <rFont val="Times New Roman"/>
        <family val="1"/>
      </rPr>
      <t>Hint</t>
    </r>
    <r>
      <rPr>
        <sz val="12"/>
        <color indexed="8"/>
        <rFont val="Times New Roman"/>
        <family val="1"/>
      </rPr>
      <t xml:space="preserve">: you will have to decide which inventory method to use for your analysis.  I suggest either LIFO or FIFO.                                                                                                           </t>
    </r>
  </si>
  <si>
    <r>
      <t xml:space="preserve">Create an </t>
    </r>
    <r>
      <rPr>
        <b/>
        <sz val="12"/>
        <color indexed="8"/>
        <rFont val="Times New Roman"/>
        <family val="1"/>
      </rPr>
      <t>income statement, a balance sheet, and a cash flow statement</t>
    </r>
    <r>
      <rPr>
        <sz val="12"/>
        <color indexed="8"/>
        <rFont val="Times New Roman"/>
        <family val="1"/>
      </rPr>
      <t xml:space="preserve"> for years X1 through X5. You may use any accounting principals that seem appropriate, providing that they are GAAP. Your goal is to maximize the firm’s common stock price at the end of year 5, by making savvy accounting and financial decisions. You should think of yourself as the CFO (chief financial officer) of this firm.</t>
    </r>
  </si>
  <si>
    <t>Helpful Hint:</t>
  </si>
  <si>
    <t>Abridged Income Statement for the year ended 12/31/X0</t>
  </si>
  <si>
    <t>Beg Bal RE</t>
  </si>
  <si>
    <t>Div Declared</t>
  </si>
  <si>
    <t>End Bal RE</t>
  </si>
  <si>
    <t>Part One (85% of grade):</t>
  </si>
  <si>
    <t>Part Two (25%)</t>
  </si>
  <si>
    <r>
      <t xml:space="preserve">The federal corporate income taxes rates for all years will be the actual rates in effect for the current tax year. These </t>
    </r>
    <r>
      <rPr>
        <b/>
        <i/>
        <sz val="12"/>
        <color indexed="8"/>
        <rFont val="Times New Roman"/>
        <family val="1"/>
      </rPr>
      <t>Federal Corporate Tax Rates</t>
    </r>
    <r>
      <rPr>
        <sz val="12"/>
        <color indexed="8"/>
        <rFont val="Times New Roman"/>
        <family val="1"/>
      </rPr>
      <t xml:space="preserve"> can be found on the internet. Be sure to show a schedule for how you calculated federal income tax. Ignore state income taxes. An important part of becoming financially savvy is to become familiar with tax rates and tax strategies. You are incouraged to do the research and use the current tax system for this project. As a fall-back, a tax table is also included with the income statement.</t>
    </r>
  </si>
  <si>
    <t>Sales (in units) increases by 74% in the first year and will grow by 4% additional each year. So, there is a 78% growth in sales in year 2, an 82% growth rate in year 3,... The sales price is $46 in year X0, and the price increases by 22% each year.</t>
  </si>
  <si>
    <t xml:space="preserve">Spring 2012         </t>
  </si>
  <si>
    <r>
      <t xml:space="preserve">As of the end of year five, do a five-year financial analysis of your company. At a minimum level </t>
    </r>
    <r>
      <rPr>
        <b/>
        <sz val="12"/>
        <color indexed="8"/>
        <rFont val="Times New Roman"/>
        <family val="1"/>
      </rPr>
      <t>you should calculate all the ratios that were covered in class</t>
    </r>
    <r>
      <rPr>
        <sz val="12"/>
        <color indexed="8"/>
        <rFont val="Times New Roman"/>
        <family val="1"/>
      </rPr>
      <t>.  Write a one-page financial analysis that provides a prospective investor with a good overview of the most recent financial results of the company. You will be graded on how well your analysis fits the information from your company.</t>
    </r>
  </si>
  <si>
    <r>
      <t>Hint:</t>
    </r>
    <r>
      <rPr>
        <sz val="12"/>
        <color indexed="8"/>
        <rFont val="Times New Roman"/>
        <family val="1"/>
      </rPr>
      <t xml:space="preserve"> You will probably have to do financial analyses of other companies in courses like Finance and Strategy. This part of the project is an opportunity to create a financial forecasting/analysis framework that you can transport to other classes. Strange as it might seem, this framework might even be useful in “</t>
    </r>
    <r>
      <rPr>
        <i/>
        <sz val="12"/>
        <color indexed="8"/>
        <rFont val="Times New Roman"/>
        <family val="1"/>
      </rPr>
      <t>real life</t>
    </r>
    <r>
      <rPr>
        <sz val="12"/>
        <color indexed="8"/>
        <rFont val="Times New Roman"/>
        <family val="1"/>
      </rPr>
      <t>”.</t>
    </r>
  </si>
  <si>
    <t>Bonus</t>
  </si>
  <si>
    <t xml:space="preserve">To make the project more realistic I have am asking you to think like a CFO. You will not be graded on the quality of your financial decisions. Your grade will be based on how well you do the accounting. To make the project more interesting I am adding a $20 prize for the individual who maximizes stock price in year X5. The primary criterion is the market value of the stock at the end of year 5, which in this case is directly related to GAAP EPS and pertains to your GAAP statements. (HINT: the price per share depends on how many shares are outstanding. You need to think hard about how much stock you sell in the first year of your analysis.) </t>
  </si>
  <si>
    <t>In this assignment, assume that you are creating actual statements for years X1-X5. You will be graded on how well you do the accounting, the reasonableness of your assumptions and the appearance and “presentation” of your financial statements.</t>
  </si>
  <si>
    <t>Did you calculate ratios for all five years? What are the trends? Did you plot the ratios?</t>
  </si>
  <si>
    <t>Did you do a written financial analysis?</t>
  </si>
  <si>
    <t>Is presentation reasonable? Easy to understand? Are all 5 years, for each statement, on one Excel sheet, one sheet of paper?</t>
  </si>
  <si>
    <t>Are fixed assets done correctly? Is the gross value of NCA constant across all 5 years? Is Net Book Value (NBV) of NCA declining? Is accumulated depreciation shown on the balance sheet (accumulating)? Is depreciation expense correct on the income statement?</t>
  </si>
  <si>
    <r>
      <t>A</t>
    </r>
    <r>
      <rPr>
        <b/>
        <sz val="12"/>
        <color indexed="8"/>
        <rFont val="Times New Roman"/>
        <family val="1"/>
      </rPr>
      <t>SSUMPTIONS:</t>
    </r>
  </si>
  <si>
    <t xml:space="preserve">Stock price will not go below $1.00 per share, in any year, even though you may have incurred a loss in any year. </t>
  </si>
  <si>
    <t>Create a schedule to show stock price for each year, and how you calculated it.</t>
  </si>
  <si>
    <t>You will need to make many assumptions in the process of creating the financial statements for years X1 through X5. Please make a list of your assumptions.</t>
  </si>
  <si>
    <t>The P/E (called the price earnings ratio: price / earnings per share {EPS}) for all six years will be the same. That is to say that the P/E in period zero is the same as the P/E in all years. Assume the stock price at 12/31/x0 is $6.11. You need this assumption to calculate the P/E. If you decide to sell stock in period X1, you will need to calculate the stock price. Assume that the stock price on January 1, X1, when you need to raise money, will be based on the expected earnings of year X1. In other words, the market is guessing (accurately) about what your earnings will be as of year-end. You then use the P/E, using the EPS from year X1, to calculate the stock price. Remember, you may finance completely with debt, or you may elect to finance the new assets partly with debt and partly with the sale of additional common stock.</t>
  </si>
  <si>
    <t>REQUIRED</t>
  </si>
  <si>
    <t>Balance Sheet for the year ending 12/31/X0</t>
  </si>
  <si>
    <t>Assets</t>
  </si>
  <si>
    <t>Cash</t>
  </si>
  <si>
    <t>Marketable Securities</t>
  </si>
  <si>
    <t>Accounts Receivable</t>
  </si>
  <si>
    <t>Inventory</t>
  </si>
  <si>
    <t>Other Assets</t>
  </si>
  <si>
    <t xml:space="preserve">   Current Assets</t>
  </si>
  <si>
    <t>Equipment</t>
  </si>
  <si>
    <t>Accumulated Depreciation</t>
  </si>
  <si>
    <t>Fixed Assets</t>
  </si>
  <si>
    <t xml:space="preserve">       Total Assets</t>
  </si>
  <si>
    <t>Liabilities and Equity</t>
  </si>
  <si>
    <t xml:space="preserve">Accounts Payable </t>
  </si>
  <si>
    <t>Other Current Liabilities</t>
  </si>
  <si>
    <t xml:space="preserve">   Current Liabilities</t>
  </si>
  <si>
    <t>Mortgages</t>
  </si>
  <si>
    <t>Common Stock</t>
  </si>
  <si>
    <t>Paid in Capital</t>
  </si>
  <si>
    <t>Retained Earnings</t>
  </si>
  <si>
    <t xml:space="preserve">    Total Equity</t>
  </si>
  <si>
    <t xml:space="preserve">         Total Liabilities and Equity</t>
  </si>
  <si>
    <t>Acct 522</t>
  </si>
  <si>
    <t>Project</t>
  </si>
  <si>
    <t>Boylan</t>
  </si>
  <si>
    <t>Sales</t>
  </si>
  <si>
    <t>Cost of Goods Sold</t>
  </si>
  <si>
    <t>Operating expenses</t>
  </si>
  <si>
    <t>Taxes</t>
  </si>
  <si>
    <t>Net Income</t>
  </si>
  <si>
    <t xml:space="preserve">   Gross Profit</t>
  </si>
  <si>
    <t xml:space="preserve">   Net income before taxes</t>
  </si>
  <si>
    <t>Taxable Income ($)</t>
  </si>
  <si>
    <t>Tax Rate[21]</t>
  </si>
  <si>
    <t>0 to 50,000</t>
  </si>
  <si>
    <t>50,000 to 75,000</t>
  </si>
  <si>
    <t>$7,500 + 25% Of the amount over 50,000</t>
  </si>
  <si>
    <t>75,000 to 100,000</t>
  </si>
  <si>
    <t>$13,750 + 34% Of the amount over 75,000</t>
  </si>
  <si>
    <t>100,000 to 335,000</t>
  </si>
  <si>
    <t>$22,250 + 39% Of the amount over 100,000</t>
  </si>
  <si>
    <t>335,000 to 10,000,000</t>
  </si>
  <si>
    <t>$113,900 + 34% Of the amount over 335,000</t>
  </si>
  <si>
    <t>10,000,000 to 15,000,000</t>
  </si>
  <si>
    <t>$3,400,000 + 35% Of the amount over 10,000,000</t>
  </si>
  <si>
    <t>15,000,000 to 18,333,333</t>
  </si>
  <si>
    <t>$5,150,000 + 38% Of the amount over 15,000,000</t>
  </si>
  <si>
    <t>18,333,333 and up</t>
  </si>
  <si>
    <t>Check list for the project:</t>
  </si>
  <si>
    <t>Does the balance sheet balance?</t>
  </si>
  <si>
    <t>Is retained earnings correct? (Beg Bal + NI – Div = Ending Bal)</t>
  </si>
  <si>
    <t>Did you include an amortization table for the loan? Is interest expense correct on the income statement and the mortgage liability correctly stated on the balance sheet?</t>
  </si>
  <si>
    <t>Have you separated current assets and current liabilities? Classified balance sheet?</t>
  </si>
  <si>
    <t xml:space="preserve">Is there a table showing your tax expense calculation? </t>
  </si>
  <si>
    <t>Is sales revenue correct?</t>
  </si>
  <si>
    <t>Is there a schedule for CGS and ending inventory balances? Is CGS on the income statement and inventory on the balance sheet correct?</t>
  </si>
  <si>
    <t>Are assumptions reasonable?</t>
  </si>
  <si>
    <t>Is interest revenue reasonable?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</si>
</sst>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00_);_(&quot;$&quot;* \(#,##0.00\);_(&quot;$&quot;* &quot;-&quot;??_);_(@_)"/>
    <numFmt numFmtId="166" formatCode="_(* #,##0.00_);_(* \(#,##0.00\);_(* &quot;-&quot;??_);_(@_)"/>
    <numFmt numFmtId="167" formatCode="0.0"/>
    <numFmt numFmtId="168" formatCode="_(&quot;$&quot;* #,##0_);_(&quot;$&quot;* \(#,##0\);_(&quot;$&quot;* &quot;-&quot;??_);_(@_)"/>
  </numFmts>
  <fonts count="22">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sz val="10"/>
      <color indexed="8"/>
      <name val="Times New Roman"/>
      <family val="1"/>
    </font>
    <font>
      <b/>
      <sz val="14"/>
      <color indexed="8"/>
      <name val="Times New Roman"/>
      <family val="1"/>
    </font>
    <font>
      <b/>
      <sz val="12"/>
      <color indexed="8"/>
      <name val="Times New Roman"/>
      <family val="1"/>
    </font>
    <font>
      <sz val="12"/>
      <color indexed="8"/>
      <name val="Times New Roman"/>
      <family val="1"/>
    </font>
    <font>
      <sz val="10"/>
      <name val="Arial"/>
      <family val="0"/>
    </font>
    <font>
      <sz val="12"/>
      <name val="Times New Roman"/>
      <family val="0"/>
    </font>
    <font>
      <b/>
      <sz val="14"/>
      <name val="Times New Roman"/>
      <family val="1"/>
    </font>
    <font>
      <u val="single"/>
      <sz val="11"/>
      <color indexed="12"/>
      <name val="Calibri"/>
      <family val="2"/>
    </font>
    <font>
      <b/>
      <sz val="16"/>
      <color indexed="8"/>
      <name val="Times New Roman"/>
      <family val="1"/>
    </font>
    <font>
      <b/>
      <i/>
      <sz val="12"/>
      <color indexed="8"/>
      <name val="Times New Roman"/>
      <family val="1"/>
    </font>
    <font>
      <i/>
      <sz val="12"/>
      <color indexed="8"/>
      <name val="Times New Roman"/>
      <family val="1"/>
    </font>
    <font>
      <b/>
      <sz val="18"/>
      <color indexed="8"/>
      <name val="Calibri"/>
      <family val="2"/>
    </font>
    <font>
      <b/>
      <sz val="16"/>
      <color indexed="8"/>
      <name val="Calibri"/>
      <family val="2"/>
    </font>
    <font>
      <sz val="11"/>
      <name val="Calibri"/>
      <family val="2"/>
    </font>
    <font>
      <u val="single"/>
      <sz val="11"/>
      <color indexed="20"/>
      <name val="Calibri"/>
      <family val="2"/>
    </font>
    <font>
      <b/>
      <u val="single"/>
      <sz val="11"/>
      <color indexed="8"/>
      <name val="Calibri"/>
      <family val="0"/>
    </font>
    <font>
      <sz val="8"/>
      <name val="Verdana"/>
      <family val="0"/>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0">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color indexed="8"/>
      </left>
      <right style="thin">
        <color indexed="8"/>
      </right>
      <top>
        <color indexed="63"/>
      </top>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style="thin">
        <color indexed="8"/>
      </left>
      <right>
        <color indexed="63"/>
      </right>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69">
    <xf numFmtId="0" fontId="0" fillId="0" borderId="0" xfId="0" applyAlignment="1">
      <alignment/>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xf>
    <xf numFmtId="0" fontId="8" fillId="0" borderId="0" xfId="0" applyFont="1" applyAlignment="1">
      <alignment vertical="center"/>
    </xf>
    <xf numFmtId="3" fontId="8" fillId="0" borderId="0" xfId="0" applyNumberFormat="1" applyFont="1" applyAlignment="1">
      <alignment horizontal="right" vertical="center"/>
    </xf>
    <xf numFmtId="0" fontId="0" fillId="0" borderId="0" xfId="0" applyAlignment="1">
      <alignment horizontal="center"/>
    </xf>
    <xf numFmtId="0" fontId="9" fillId="0" borderId="0" xfId="21">
      <alignment/>
      <protection/>
    </xf>
    <xf numFmtId="0" fontId="10" fillId="0" borderId="0" xfId="21" applyFont="1">
      <alignment/>
      <protection/>
    </xf>
    <xf numFmtId="3" fontId="10" fillId="0" borderId="0" xfId="21" applyNumberFormat="1" applyFont="1">
      <alignment/>
      <protection/>
    </xf>
    <xf numFmtId="0" fontId="11" fillId="0" borderId="0" xfId="21" applyFont="1">
      <alignment/>
      <protection/>
    </xf>
    <xf numFmtId="0" fontId="4" fillId="2" borderId="1" xfId="0" applyFont="1" applyFill="1" applyBorder="1" applyAlignment="1">
      <alignment horizontal="center" vertical="center" wrapText="1"/>
    </xf>
    <xf numFmtId="0" fontId="12" fillId="2" borderId="1" xfId="20" applyFill="1" applyBorder="1" applyAlignment="1">
      <alignment horizontal="center" vertical="center" wrapText="1"/>
    </xf>
    <xf numFmtId="0" fontId="0" fillId="0" borderId="1" xfId="0" applyBorder="1" applyAlignment="1">
      <alignment vertical="center" wrapText="1"/>
    </xf>
    <xf numFmtId="9" fontId="0" fillId="0" borderId="1" xfId="0" applyNumberFormat="1" applyBorder="1" applyAlignment="1">
      <alignment vertical="center" wrapText="1"/>
    </xf>
    <xf numFmtId="0" fontId="8" fillId="0" borderId="0" xfId="0" applyFont="1" applyAlignment="1">
      <alignment wrapText="1"/>
    </xf>
    <xf numFmtId="0" fontId="8" fillId="0" borderId="0" xfId="0" applyFont="1" applyAlignment="1">
      <alignment vertical="center" wrapText="1"/>
    </xf>
    <xf numFmtId="0" fontId="13" fillId="0" borderId="0" xfId="0" applyFont="1" applyAlignment="1">
      <alignment vertical="center"/>
    </xf>
    <xf numFmtId="0" fontId="14" fillId="0" borderId="0" xfId="0" applyFont="1" applyAlignment="1">
      <alignment vertical="center" wrapText="1"/>
    </xf>
    <xf numFmtId="0" fontId="16" fillId="0" borderId="0" xfId="0" applyFont="1" applyAlignment="1">
      <alignment/>
    </xf>
    <xf numFmtId="3" fontId="8" fillId="0" borderId="2" xfId="0" applyNumberFormat="1" applyFont="1" applyBorder="1" applyAlignment="1">
      <alignment horizontal="right" vertical="center"/>
    </xf>
    <xf numFmtId="3" fontId="8" fillId="0" borderId="3" xfId="0" applyNumberFormat="1" applyFont="1" applyBorder="1" applyAlignment="1">
      <alignment horizontal="right" vertical="center"/>
    </xf>
    <xf numFmtId="3" fontId="8" fillId="0" borderId="4" xfId="0" applyNumberFormat="1" applyFont="1" applyBorder="1" applyAlignment="1">
      <alignment horizontal="right" vertical="center"/>
    </xf>
    <xf numFmtId="3" fontId="8" fillId="0" borderId="0" xfId="0" applyNumberFormat="1" applyFont="1" applyBorder="1" applyAlignment="1">
      <alignment horizontal="right" vertical="center"/>
    </xf>
    <xf numFmtId="0" fontId="8" fillId="0" borderId="0" xfId="0" applyFont="1" applyAlignment="1">
      <alignment horizontal="right" vertical="center"/>
    </xf>
    <xf numFmtId="0" fontId="17" fillId="0" borderId="0" xfId="0" applyFont="1" applyAlignment="1">
      <alignment/>
    </xf>
    <xf numFmtId="3" fontId="10" fillId="0" borderId="2" xfId="21" applyNumberFormat="1" applyFont="1" applyBorder="1">
      <alignment/>
      <protection/>
    </xf>
    <xf numFmtId="3" fontId="10" fillId="0" borderId="4" xfId="21" applyNumberFormat="1" applyFont="1" applyBorder="1">
      <alignment/>
      <protection/>
    </xf>
    <xf numFmtId="3" fontId="8" fillId="0" borderId="0" xfId="0" applyNumberFormat="1" applyFont="1" applyAlignment="1">
      <alignment/>
    </xf>
    <xf numFmtId="3" fontId="8" fillId="0" borderId="4" xfId="0" applyNumberFormat="1" applyFont="1" applyBorder="1" applyAlignment="1">
      <alignment/>
    </xf>
    <xf numFmtId="9" fontId="0" fillId="0" borderId="0" xfId="22" applyFont="1" applyAlignment="1">
      <alignment/>
    </xf>
    <xf numFmtId="3" fontId="0" fillId="0" borderId="0" xfId="0" applyNumberFormat="1" applyAlignment="1">
      <alignment/>
    </xf>
    <xf numFmtId="2" fontId="0" fillId="0" borderId="0" xfId="0" applyNumberFormat="1" applyAlignment="1">
      <alignment/>
    </xf>
    <xf numFmtId="167" fontId="0" fillId="0" borderId="0" xfId="0" applyNumberFormat="1" applyAlignment="1">
      <alignment/>
    </xf>
    <xf numFmtId="44" fontId="0" fillId="0" borderId="0" xfId="17" applyFont="1" applyAlignment="1">
      <alignment/>
    </xf>
    <xf numFmtId="10" fontId="0" fillId="0" borderId="0" xfId="22" applyNumberFormat="1" applyFont="1" applyAlignment="1">
      <alignment/>
    </xf>
    <xf numFmtId="168" fontId="0" fillId="0" borderId="0" xfId="17" applyNumberFormat="1" applyFont="1" applyAlignment="1">
      <alignment/>
    </xf>
    <xf numFmtId="8" fontId="0" fillId="0" borderId="0" xfId="0" applyNumberFormat="1" applyAlignment="1">
      <alignment/>
    </xf>
    <xf numFmtId="168" fontId="0" fillId="0" borderId="0" xfId="0" applyNumberFormat="1" applyAlignment="1">
      <alignment/>
    </xf>
    <xf numFmtId="44" fontId="0" fillId="0" borderId="0" xfId="17" applyNumberFormat="1" applyFont="1" applyAlignment="1">
      <alignment/>
    </xf>
    <xf numFmtId="44" fontId="0" fillId="0" borderId="0" xfId="0" applyNumberFormat="1" applyAlignment="1">
      <alignment/>
    </xf>
    <xf numFmtId="9" fontId="0" fillId="3" borderId="0" xfId="22" applyFont="1" applyFill="1" applyAlignment="1">
      <alignment/>
    </xf>
    <xf numFmtId="44" fontId="0" fillId="3" borderId="0" xfId="0" applyNumberFormat="1" applyFill="1" applyAlignment="1">
      <alignment/>
    </xf>
    <xf numFmtId="44" fontId="0" fillId="3" borderId="0" xfId="17" applyFont="1" applyFill="1" applyAlignment="1">
      <alignment/>
    </xf>
    <xf numFmtId="1" fontId="0" fillId="0" borderId="0" xfId="0" applyNumberFormat="1" applyAlignment="1">
      <alignment/>
    </xf>
    <xf numFmtId="2" fontId="0" fillId="0" borderId="0" xfId="17" applyNumberFormat="1" applyFont="1" applyAlignment="1">
      <alignment/>
    </xf>
    <xf numFmtId="1" fontId="0" fillId="0" borderId="0" xfId="17" applyNumberFormat="1" applyFont="1" applyAlignment="1">
      <alignment/>
    </xf>
    <xf numFmtId="1" fontId="0" fillId="0" borderId="0" xfId="15" applyNumberFormat="1" applyFont="1" applyAlignment="1">
      <alignment/>
    </xf>
    <xf numFmtId="0" fontId="20" fillId="0" borderId="0" xfId="0" applyFont="1" applyAlignment="1">
      <alignment vertical="center"/>
    </xf>
    <xf numFmtId="44" fontId="9" fillId="0" borderId="0" xfId="21" applyNumberFormat="1">
      <alignment/>
      <protection/>
    </xf>
    <xf numFmtId="44" fontId="9" fillId="0" borderId="2" xfId="21" applyNumberFormat="1" applyBorder="1">
      <alignment/>
      <protection/>
    </xf>
    <xf numFmtId="3" fontId="10" fillId="0" borderId="0" xfId="21" applyNumberFormat="1" applyFont="1" applyBorder="1">
      <alignment/>
      <protection/>
    </xf>
    <xf numFmtId="9" fontId="0" fillId="0" borderId="0" xfId="22" applyFont="1" applyAlignment="1">
      <alignment horizontal="center" vertical="center"/>
    </xf>
    <xf numFmtId="0" fontId="0" fillId="0" borderId="0" xfId="0" applyAlignment="1">
      <alignment horizontal="center" vertical="center"/>
    </xf>
    <xf numFmtId="9" fontId="0" fillId="0" borderId="0" xfId="22" applyFont="1" applyAlignment="1">
      <alignment horizontal="center" vertical="center"/>
    </xf>
    <xf numFmtId="168" fontId="9" fillId="0" borderId="0" xfId="17" applyNumberFormat="1" applyFont="1" applyAlignment="1">
      <alignment/>
    </xf>
    <xf numFmtId="168" fontId="9" fillId="0" borderId="2" xfId="21" applyNumberFormat="1" applyBorder="1">
      <alignment/>
      <protection/>
    </xf>
    <xf numFmtId="44" fontId="0" fillId="0" borderId="2" xfId="0" applyNumberFormat="1" applyBorder="1" applyAlignment="1">
      <alignment/>
    </xf>
    <xf numFmtId="3" fontId="10" fillId="0" borderId="3" xfId="21" applyNumberFormat="1" applyFont="1" applyBorder="1">
      <alignment/>
      <protection/>
    </xf>
    <xf numFmtId="0" fontId="20" fillId="2" borderId="5" xfId="0" applyFont="1" applyFill="1" applyBorder="1" applyAlignment="1">
      <alignment horizontal="center"/>
    </xf>
    <xf numFmtId="44" fontId="0" fillId="0" borderId="0" xfId="17" applyFont="1" applyAlignment="1">
      <alignment horizontal="center"/>
    </xf>
    <xf numFmtId="0" fontId="0" fillId="0" borderId="6" xfId="0" applyFill="1" applyBorder="1" applyAlignment="1">
      <alignment vertical="center" wrapText="1"/>
    </xf>
    <xf numFmtId="0" fontId="18" fillId="0" borderId="0" xfId="0" applyFont="1" applyAlignment="1">
      <alignment/>
    </xf>
    <xf numFmtId="0" fontId="0" fillId="0" borderId="7" xfId="0" applyBorder="1" applyAlignment="1">
      <alignment/>
    </xf>
    <xf numFmtId="0" fontId="0" fillId="0" borderId="8" xfId="0" applyBorder="1" applyAlignment="1">
      <alignment/>
    </xf>
    <xf numFmtId="44" fontId="0" fillId="0" borderId="9" xfId="0" applyNumberFormat="1" applyBorder="1" applyAlignment="1">
      <alignment/>
    </xf>
    <xf numFmtId="0" fontId="0" fillId="0" borderId="0" xfId="0" applyBorder="1" applyAlignment="1">
      <alignment/>
    </xf>
    <xf numFmtId="44" fontId="0" fillId="0" borderId="0" xfId="0" applyNumberFormat="1" applyBorder="1" applyAlignment="1">
      <alignment/>
    </xf>
    <xf numFmtId="44" fontId="9" fillId="0" borderId="4" xfId="21" applyNumberFormat="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cite_note-20" TargetMode="External" /></Relationships>
</file>

<file path=xl/worksheets/sheet1.xml><?xml version="1.0" encoding="utf-8"?>
<worksheet xmlns="http://schemas.openxmlformats.org/spreadsheetml/2006/main" xmlns:r="http://schemas.openxmlformats.org/officeDocument/2006/relationships">
  <dimension ref="A1:A14"/>
  <sheetViews>
    <sheetView workbookViewId="0" topLeftCell="A1">
      <selection activeCell="A2" sqref="A2"/>
    </sheetView>
  </sheetViews>
  <sheetFormatPr defaultColWidth="8.8515625" defaultRowHeight="15"/>
  <cols>
    <col min="1" max="1" width="93.421875" style="0" customWidth="1"/>
  </cols>
  <sheetData>
    <row r="1" ht="22.5">
      <c r="A1" s="19" t="s">
        <v>132</v>
      </c>
    </row>
    <row r="3" ht="60">
      <c r="A3" s="16" t="s">
        <v>137</v>
      </c>
    </row>
    <row r="5" ht="15">
      <c r="A5" s="2" t="s">
        <v>162</v>
      </c>
    </row>
    <row r="6" ht="15">
      <c r="A6" s="2" t="s">
        <v>143</v>
      </c>
    </row>
    <row r="7" ht="45">
      <c r="A7" s="16" t="s">
        <v>152</v>
      </c>
    </row>
    <row r="8" ht="15">
      <c r="A8" s="4"/>
    </row>
    <row r="9" ht="15">
      <c r="A9" s="2" t="s">
        <v>144</v>
      </c>
    </row>
    <row r="10" ht="60">
      <c r="A10" s="16" t="s">
        <v>148</v>
      </c>
    </row>
    <row r="11" ht="45">
      <c r="A11" s="18" t="s">
        <v>149</v>
      </c>
    </row>
    <row r="12" ht="15">
      <c r="A12" s="18"/>
    </row>
    <row r="13" ht="15">
      <c r="A13" s="2" t="s">
        <v>150</v>
      </c>
    </row>
    <row r="14" ht="90">
      <c r="A14" s="16" t="s">
        <v>151</v>
      </c>
    </row>
  </sheetData>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H29"/>
  <sheetViews>
    <sheetView zoomScale="125" zoomScaleNormal="125" workbookViewId="0" topLeftCell="B1">
      <selection activeCell="C14" sqref="C14"/>
    </sheetView>
  </sheetViews>
  <sheetFormatPr defaultColWidth="8.8515625" defaultRowHeight="15"/>
  <cols>
    <col min="1" max="1" width="58.421875" style="0" customWidth="1"/>
    <col min="2" max="2" width="25.00390625" style="0" customWidth="1"/>
    <col min="3" max="3" width="10.8515625" style="0" customWidth="1"/>
    <col min="4" max="7" width="9.140625" style="0" bestFit="1" customWidth="1"/>
    <col min="8" max="8" width="12.7109375" style="0" customWidth="1"/>
  </cols>
  <sheetData>
    <row r="1" spans="1:2" ht="15">
      <c r="A1" s="2" t="s">
        <v>185</v>
      </c>
      <c r="B1" s="2" t="s">
        <v>147</v>
      </c>
    </row>
    <row r="2" spans="1:2" ht="15">
      <c r="A2" s="2" t="s">
        <v>186</v>
      </c>
      <c r="B2" s="2" t="s">
        <v>187</v>
      </c>
    </row>
    <row r="3" spans="1:3" ht="15">
      <c r="A3" s="2"/>
      <c r="C3" s="2"/>
    </row>
    <row r="5" spans="1:2" ht="15.75">
      <c r="A5" s="1" t="s">
        <v>163</v>
      </c>
      <c r="B5" s="1"/>
    </row>
    <row r="6" spans="1:8" ht="15">
      <c r="A6" s="2" t="s">
        <v>164</v>
      </c>
      <c r="B6" s="3" t="s">
        <v>76</v>
      </c>
      <c r="C6" t="s">
        <v>77</v>
      </c>
      <c r="D6" t="s">
        <v>78</v>
      </c>
      <c r="E6" t="s">
        <v>79</v>
      </c>
      <c r="F6" t="s">
        <v>80</v>
      </c>
      <c r="G6" t="s">
        <v>81</v>
      </c>
      <c r="H6" t="s">
        <v>83</v>
      </c>
    </row>
    <row r="7" spans="1:7" ht="15">
      <c r="A7" s="4" t="s">
        <v>165</v>
      </c>
      <c r="B7" s="5">
        <v>200000</v>
      </c>
      <c r="C7" s="5">
        <v>200000</v>
      </c>
      <c r="D7" s="5">
        <v>200000</v>
      </c>
      <c r="E7" s="5">
        <v>200000</v>
      </c>
      <c r="F7" s="5">
        <v>200000</v>
      </c>
      <c r="G7" s="5">
        <v>200000</v>
      </c>
    </row>
    <row r="8" spans="1:2" ht="15">
      <c r="A8" s="4" t="s">
        <v>166</v>
      </c>
      <c r="B8" s="5">
        <v>3514596.8</v>
      </c>
    </row>
    <row r="9" spans="1:8" ht="15">
      <c r="A9" s="4" t="s">
        <v>167</v>
      </c>
      <c r="B9" s="5">
        <v>415000</v>
      </c>
      <c r="C9" s="32">
        <f>B9*(1+$H$9)</f>
        <v>435750</v>
      </c>
      <c r="D9" s="32">
        <f>C9*(1+$H$9)</f>
        <v>457537.5</v>
      </c>
      <c r="E9" s="32">
        <f>D9*(1+$H$9)</f>
        <v>480414.375</v>
      </c>
      <c r="F9" s="32">
        <f>E9*(1+$H$9)</f>
        <v>504435.09375</v>
      </c>
      <c r="G9" s="32">
        <f>F9*(1+$H$9)</f>
        <v>529656.8484375001</v>
      </c>
      <c r="H9" s="41">
        <v>0.05</v>
      </c>
    </row>
    <row r="10" spans="1:2" ht="15">
      <c r="A10" s="4" t="s">
        <v>168</v>
      </c>
      <c r="B10" s="5">
        <v>308000</v>
      </c>
    </row>
    <row r="11" spans="1:8" ht="15">
      <c r="A11" s="4" t="s">
        <v>169</v>
      </c>
      <c r="B11" s="20">
        <v>150000</v>
      </c>
      <c r="C11" s="31">
        <f>B11*(1+$H$11)</f>
        <v>157500</v>
      </c>
      <c r="D11" s="31">
        <f>C11*(1+$H$11)</f>
        <v>165375</v>
      </c>
      <c r="E11" s="31">
        <f>D11*(1+$H$11)</f>
        <v>173643.75</v>
      </c>
      <c r="F11" s="31">
        <f>E11*(1+$H$11)</f>
        <v>182325.9375</v>
      </c>
      <c r="G11" s="31">
        <f>F11*(1+$H$11)</f>
        <v>191442.234375</v>
      </c>
      <c r="H11" s="41">
        <v>0.05</v>
      </c>
    </row>
    <row r="12" spans="1:2" ht="15">
      <c r="A12" s="4" t="s">
        <v>170</v>
      </c>
      <c r="B12" s="23">
        <v>4587596.8</v>
      </c>
    </row>
    <row r="13" spans="1:2" ht="15">
      <c r="A13" s="4" t="s">
        <v>171</v>
      </c>
      <c r="B13" s="5">
        <v>2200000</v>
      </c>
    </row>
    <row r="14" spans="1:2" ht="15">
      <c r="A14" s="4" t="s">
        <v>172</v>
      </c>
      <c r="B14" s="20">
        <v>660000</v>
      </c>
    </row>
    <row r="15" spans="1:2" ht="15">
      <c r="A15" s="4" t="s">
        <v>173</v>
      </c>
      <c r="B15" s="21">
        <v>1540000</v>
      </c>
    </row>
    <row r="16" spans="1:2" ht="15.75" thickBot="1">
      <c r="A16" s="4" t="s">
        <v>174</v>
      </c>
      <c r="B16" s="22">
        <v>6127596.8</v>
      </c>
    </row>
    <row r="17" spans="1:2" ht="15" thickTop="1">
      <c r="A17" s="3"/>
      <c r="B17" s="3"/>
    </row>
    <row r="18" spans="1:2" ht="15">
      <c r="A18" s="2" t="s">
        <v>175</v>
      </c>
      <c r="B18" s="3"/>
    </row>
    <row r="19" spans="1:2" ht="15">
      <c r="A19" s="4" t="s">
        <v>176</v>
      </c>
      <c r="B19" s="5">
        <v>880000</v>
      </c>
    </row>
    <row r="20" spans="1:2" ht="15">
      <c r="A20" s="4" t="s">
        <v>177</v>
      </c>
      <c r="B20" s="20">
        <v>50000</v>
      </c>
    </row>
    <row r="21" spans="1:2" ht="15">
      <c r="A21" s="4" t="s">
        <v>178</v>
      </c>
      <c r="B21" s="5">
        <v>930000</v>
      </c>
    </row>
    <row r="22" spans="1:2" ht="15">
      <c r="A22" s="4" t="s">
        <v>179</v>
      </c>
      <c r="B22" s="24">
        <v>0</v>
      </c>
    </row>
    <row r="23" spans="1:2" ht="15">
      <c r="A23" s="4" t="s">
        <v>182</v>
      </c>
      <c r="B23" s="20">
        <v>930000</v>
      </c>
    </row>
    <row r="24" spans="1:2" ht="15">
      <c r="A24" s="4" t="s">
        <v>180</v>
      </c>
      <c r="B24" s="5">
        <v>400000</v>
      </c>
    </row>
    <row r="25" spans="1:2" ht="15">
      <c r="A25" s="4" t="s">
        <v>181</v>
      </c>
      <c r="B25" s="5">
        <v>3400000</v>
      </c>
    </row>
    <row r="26" spans="1:2" ht="15">
      <c r="A26" s="4" t="s">
        <v>182</v>
      </c>
      <c r="B26" s="5">
        <v>1397596.8</v>
      </c>
    </row>
    <row r="27" spans="1:2" ht="15">
      <c r="A27" s="4" t="s">
        <v>183</v>
      </c>
      <c r="B27" s="20">
        <v>5197596.8</v>
      </c>
    </row>
    <row r="28" spans="1:2" ht="15.75" thickBot="1">
      <c r="A28" s="4" t="s">
        <v>184</v>
      </c>
      <c r="B28" s="22">
        <v>6127596.8</v>
      </c>
    </row>
    <row r="29" ht="15.75" thickTop="1">
      <c r="B29" s="23"/>
    </row>
  </sheetData>
  <mergeCells count="1">
    <mergeCell ref="A5:B5"/>
  </mergeCells>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H30"/>
  <sheetViews>
    <sheetView tabSelected="1" zoomScale="125" zoomScaleNormal="125" workbookViewId="0" topLeftCell="A1">
      <selection activeCell="C17" sqref="C17"/>
    </sheetView>
  </sheetViews>
  <sheetFormatPr defaultColWidth="8.8515625" defaultRowHeight="15"/>
  <cols>
    <col min="1" max="1" width="62.8515625" style="0" customWidth="1"/>
    <col min="2" max="2" width="17.140625" style="0" customWidth="1"/>
    <col min="3" max="3" width="13.421875" style="0" customWidth="1"/>
    <col min="4" max="4" width="13.140625" style="0" bestFit="1" customWidth="1"/>
    <col min="5" max="7" width="14.00390625" style="0" bestFit="1" customWidth="1"/>
    <col min="8" max="8" width="11.140625" style="0" customWidth="1"/>
  </cols>
  <sheetData>
    <row r="1" spans="1:2" ht="15">
      <c r="A1" s="2" t="s">
        <v>185</v>
      </c>
      <c r="B1" s="2" t="s">
        <v>147</v>
      </c>
    </row>
    <row r="3" spans="1:8" ht="15.75">
      <c r="A3" s="10" t="s">
        <v>139</v>
      </c>
      <c r="B3" s="7" t="s">
        <v>76</v>
      </c>
      <c r="C3" s="7" t="s">
        <v>77</v>
      </c>
      <c r="D3" t="s">
        <v>78</v>
      </c>
      <c r="E3" t="s">
        <v>79</v>
      </c>
      <c r="F3" t="s">
        <v>80</v>
      </c>
      <c r="G3" t="s">
        <v>81</v>
      </c>
      <c r="H3" t="s">
        <v>83</v>
      </c>
    </row>
    <row r="4" spans="1:8" ht="15">
      <c r="A4" s="8" t="s">
        <v>188</v>
      </c>
      <c r="B4" s="9">
        <v>4150000</v>
      </c>
      <c r="C4" s="7">
        <f>B4*(1+0.74)</f>
        <v>7221000</v>
      </c>
      <c r="D4" s="31">
        <f>C4*(1+0.74+$H$4)</f>
        <v>12853380</v>
      </c>
      <c r="E4" s="31">
        <f>D4*(1+0.74+$H$4)</f>
        <v>22879016.4</v>
      </c>
      <c r="F4" s="31">
        <f>E4*(1+0.74+$H$4)</f>
        <v>40724649.192</v>
      </c>
      <c r="G4" s="31">
        <f>F4*(1+0.74+$H$4)</f>
        <v>72489875.56176001</v>
      </c>
      <c r="H4" s="52">
        <v>0.04</v>
      </c>
    </row>
    <row r="5" spans="1:8" ht="15">
      <c r="A5" s="8" t="s">
        <v>189</v>
      </c>
      <c r="B5" s="26">
        <v>1826000</v>
      </c>
      <c r="C5" s="50">
        <f>sale!D23</f>
        <v>2943985.744832502</v>
      </c>
      <c r="D5" s="50">
        <f>sale!E23</f>
        <v>4467136.402322893</v>
      </c>
      <c r="E5" s="50">
        <f>sale!F23</f>
        <v>6778330.252442736</v>
      </c>
      <c r="F5" s="50">
        <f>sale!G23</f>
        <v>10285282.756821306</v>
      </c>
      <c r="G5" s="50">
        <f>sale!H23</f>
        <v>15606651.999530826</v>
      </c>
      <c r="H5" s="53"/>
    </row>
    <row r="6" spans="1:8" ht="15">
      <c r="A6" s="8" t="s">
        <v>193</v>
      </c>
      <c r="B6" s="9">
        <v>2324000</v>
      </c>
      <c r="C6" s="49">
        <f>C4-C5</f>
        <v>4277014.255167497</v>
      </c>
      <c r="D6" s="49">
        <f>D4-D5</f>
        <v>8386243.597677107</v>
      </c>
      <c r="E6" s="49">
        <f>E4-E5</f>
        <v>16100686.147557262</v>
      </c>
      <c r="F6" s="49">
        <f>F4-F5</f>
        <v>30439366.435178697</v>
      </c>
      <c r="G6" s="49">
        <f>G4-G5</f>
        <v>56883223.56222919</v>
      </c>
      <c r="H6" s="53"/>
    </row>
    <row r="7" spans="1:8" ht="15">
      <c r="A7" s="8" t="s">
        <v>190</v>
      </c>
      <c r="C7" s="7"/>
      <c r="H7" s="53"/>
    </row>
    <row r="8" spans="1:8" ht="15">
      <c r="A8" s="8" t="s">
        <v>58</v>
      </c>
      <c r="B8" s="51">
        <f>B12-B10-B9</f>
        <v>355520</v>
      </c>
      <c r="C8" s="55">
        <f>B8*(1+$H$8)</f>
        <v>362630.4</v>
      </c>
      <c r="D8" s="55">
        <f>C8*(1+$H$8)</f>
        <v>369883.00800000003</v>
      </c>
      <c r="E8" s="55">
        <f>D8*(1+$H$8)</f>
        <v>377280.66816000006</v>
      </c>
      <c r="F8" s="55">
        <f>E8*(1+$H$8)</f>
        <v>384826.28152320004</v>
      </c>
      <c r="G8" s="55">
        <f>F8*(1+$H$8)</f>
        <v>392522.80715366406</v>
      </c>
      <c r="H8" s="52">
        <v>0.02</v>
      </c>
    </row>
    <row r="9" spans="1:8" ht="15">
      <c r="A9" s="8" t="s">
        <v>59</v>
      </c>
      <c r="B9" s="51">
        <f>depreciation!C7</f>
        <v>660000</v>
      </c>
      <c r="C9" s="36">
        <f>depreciation!D7</f>
        <v>880952.380952381</v>
      </c>
      <c r="D9" s="36">
        <f>depreciation!E7</f>
        <v>880952.380952381</v>
      </c>
      <c r="E9" s="36">
        <f>depreciation!F7</f>
        <v>880952.380952381</v>
      </c>
      <c r="F9" s="36">
        <f>depreciation!G7</f>
        <v>880952.380952381</v>
      </c>
      <c r="G9" s="36">
        <f>depreciation!H7</f>
        <v>880952.380952381</v>
      </c>
      <c r="H9" s="53"/>
    </row>
    <row r="10" spans="1:8" ht="15">
      <c r="A10" s="8" t="s">
        <v>61</v>
      </c>
      <c r="B10" s="51">
        <v>100000</v>
      </c>
      <c r="C10" s="55">
        <f>B10*(1+$H$10)</f>
        <v>102000</v>
      </c>
      <c r="D10" s="55">
        <f>C10*(1+$H$10)</f>
        <v>104040</v>
      </c>
      <c r="E10" s="55">
        <f>D10*(1+$H$10)</f>
        <v>106120.8</v>
      </c>
      <c r="F10" s="55">
        <f>E10*(1+$H$10)</f>
        <v>108243.216</v>
      </c>
      <c r="G10" s="55">
        <f>F10*(1+$H$10)</f>
        <v>110408.08032000001</v>
      </c>
      <c r="H10" s="54">
        <v>0.02</v>
      </c>
    </row>
    <row r="11" spans="1:7" ht="15">
      <c r="A11" s="8" t="s">
        <v>60</v>
      </c>
      <c r="B11" s="51"/>
      <c r="C11" s="50">
        <f>mortgage!F13</f>
        <v>395555.23817380855</v>
      </c>
      <c r="D11" s="57">
        <f>mortgage!F17</f>
        <v>383352.1217494542</v>
      </c>
      <c r="E11" s="57">
        <f>mortgage!F21</f>
        <v>370527.3134474595</v>
      </c>
      <c r="F11" s="57">
        <f>mortgage!F25</f>
        <v>357049.1409656615</v>
      </c>
      <c r="G11" s="57">
        <f>mortgage!F29</f>
        <v>342884.31844579236</v>
      </c>
    </row>
    <row r="12" spans="1:7" ht="15">
      <c r="A12" s="8" t="s">
        <v>62</v>
      </c>
      <c r="B12" s="58">
        <v>1115520</v>
      </c>
      <c r="C12" s="56">
        <f>SUM(C8:C11)</f>
        <v>1741138.0191261894</v>
      </c>
      <c r="D12" s="56">
        <f>SUM(D8:D11)</f>
        <v>1738227.5107018352</v>
      </c>
      <c r="E12" s="56">
        <f>SUM(E8:E11)</f>
        <v>1734881.1625598404</v>
      </c>
      <c r="F12" s="56">
        <f>SUM(F8:F11)</f>
        <v>1731071.0194412426</v>
      </c>
      <c r="G12" s="56">
        <f>SUM(G8:G11)</f>
        <v>1726767.5868718375</v>
      </c>
    </row>
    <row r="13" spans="1:7" ht="15">
      <c r="A13" s="8" t="s">
        <v>194</v>
      </c>
      <c r="B13" s="9">
        <v>1208480</v>
      </c>
      <c r="C13" s="49">
        <f>C6-C12</f>
        <v>2535876.236041308</v>
      </c>
      <c r="D13" s="49">
        <f>D6-D12</f>
        <v>6648016.086975272</v>
      </c>
      <c r="E13" s="49">
        <f>E6-E12</f>
        <v>14365804.984997422</v>
      </c>
      <c r="F13" s="49">
        <f>F6-F12</f>
        <v>28708295.415737454</v>
      </c>
      <c r="G13" s="49">
        <f>G6-G12</f>
        <v>55156455.975357346</v>
      </c>
    </row>
    <row r="14" spans="1:7" ht="15">
      <c r="A14" s="8" t="s">
        <v>191</v>
      </c>
      <c r="B14" s="26">
        <v>410883.2</v>
      </c>
      <c r="C14" s="7">
        <f>taxes!C12</f>
        <v>862197.9202540447</v>
      </c>
      <c r="D14">
        <f>taxes!E12</f>
        <v>2260325.4695715928</v>
      </c>
      <c r="E14">
        <f>taxes!G12</f>
        <v>4928031.744749098</v>
      </c>
      <c r="F14">
        <f>taxes!I12</f>
        <v>10047903.385508109</v>
      </c>
      <c r="G14">
        <f>taxes!K12</f>
        <v>19304759.58137507</v>
      </c>
    </row>
    <row r="15" spans="1:7" ht="15.75" thickBot="1">
      <c r="A15" s="8" t="s">
        <v>192</v>
      </c>
      <c r="B15" s="27">
        <v>797596.8</v>
      </c>
      <c r="C15" s="68">
        <f>C13-C14</f>
        <v>1673678.3157872632</v>
      </c>
      <c r="D15" s="68">
        <f>D13-D14</f>
        <v>4387690.617403679</v>
      </c>
      <c r="E15" s="68">
        <f>E13-E14</f>
        <v>9437773.240248322</v>
      </c>
      <c r="F15" s="68">
        <f>F13-F14</f>
        <v>18660392.030229345</v>
      </c>
      <c r="G15" s="68">
        <f>G13-G14</f>
        <v>35851696.39398228</v>
      </c>
    </row>
    <row r="16" spans="1:2" ht="15.75" thickTop="1">
      <c r="A16" s="8" t="s">
        <v>140</v>
      </c>
      <c r="B16" s="28">
        <v>660000</v>
      </c>
    </row>
    <row r="17" spans="1:2" ht="15">
      <c r="A17" s="8" t="s">
        <v>141</v>
      </c>
      <c r="B17" s="28">
        <v>60000</v>
      </c>
    </row>
    <row r="18" spans="1:2" ht="15.75" thickBot="1">
      <c r="A18" s="8" t="s">
        <v>142</v>
      </c>
      <c r="B18" s="29">
        <v>1397596.8</v>
      </c>
    </row>
    <row r="19" ht="15" thickTop="1"/>
    <row r="20" ht="13.5">
      <c r="A20" t="s">
        <v>138</v>
      </c>
    </row>
    <row r="22" spans="1:2" ht="13.5">
      <c r="A22" s="11" t="s">
        <v>195</v>
      </c>
      <c r="B22" s="12" t="s">
        <v>196</v>
      </c>
    </row>
    <row r="23" spans="1:2" ht="13.5">
      <c r="A23" s="13" t="s">
        <v>197</v>
      </c>
      <c r="B23" s="14">
        <v>0.15</v>
      </c>
    </row>
    <row r="24" spans="1:2" ht="27.75">
      <c r="A24" s="13" t="s">
        <v>198</v>
      </c>
      <c r="B24" s="13" t="s">
        <v>199</v>
      </c>
    </row>
    <row r="25" spans="1:2" ht="42">
      <c r="A25" s="13" t="s">
        <v>200</v>
      </c>
      <c r="B25" s="13" t="s">
        <v>201</v>
      </c>
    </row>
    <row r="26" spans="1:2" ht="42">
      <c r="A26" s="13" t="s">
        <v>202</v>
      </c>
      <c r="B26" s="13" t="s">
        <v>203</v>
      </c>
    </row>
    <row r="27" spans="1:2" ht="42">
      <c r="A27" s="13" t="s">
        <v>204</v>
      </c>
      <c r="B27" s="13" t="s">
        <v>205</v>
      </c>
    </row>
    <row r="28" spans="1:2" ht="42">
      <c r="A28" s="13" t="s">
        <v>206</v>
      </c>
      <c r="B28" s="13" t="s">
        <v>207</v>
      </c>
    </row>
    <row r="29" spans="1:2" ht="42">
      <c r="A29" s="13" t="s">
        <v>208</v>
      </c>
      <c r="B29" s="13" t="s">
        <v>209</v>
      </c>
    </row>
    <row r="30" spans="1:2" ht="13.5">
      <c r="A30" s="13" t="s">
        <v>210</v>
      </c>
      <c r="B30" s="14">
        <v>0.35</v>
      </c>
    </row>
  </sheetData>
  <hyperlinks>
    <hyperlink ref="B22" r:id="rId1" display="Tax Rate[2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15"/>
  <sheetViews>
    <sheetView zoomScale="125" zoomScaleNormal="125" workbookViewId="0" topLeftCell="A8">
      <selection activeCell="B8" sqref="B8"/>
    </sheetView>
  </sheetViews>
  <sheetFormatPr defaultColWidth="8.8515625" defaultRowHeight="15"/>
  <cols>
    <col min="1" max="1" width="7.28125" style="0" customWidth="1"/>
    <col min="2" max="2" width="82.8515625" style="0" customWidth="1"/>
  </cols>
  <sheetData>
    <row r="1" s="25" customFormat="1" ht="19.5">
      <c r="A1" s="25" t="s">
        <v>133</v>
      </c>
    </row>
    <row r="2" ht="15">
      <c r="A2" s="4" t="s">
        <v>157</v>
      </c>
    </row>
    <row r="3" spans="1:2" ht="90">
      <c r="A3" s="6">
        <v>1</v>
      </c>
      <c r="B3" s="15" t="s">
        <v>134</v>
      </c>
    </row>
    <row r="4" spans="1:2" ht="105">
      <c r="A4" s="6">
        <v>2</v>
      </c>
      <c r="B4" s="15" t="s">
        <v>135</v>
      </c>
    </row>
    <row r="5" spans="1:2" ht="45">
      <c r="A5" s="6">
        <v>3</v>
      </c>
      <c r="B5" s="15" t="s">
        <v>146</v>
      </c>
    </row>
    <row r="6" spans="1:2" ht="75">
      <c r="A6" s="6">
        <v>4</v>
      </c>
      <c r="B6" s="15" t="s">
        <v>136</v>
      </c>
    </row>
    <row r="7" spans="1:2" ht="165">
      <c r="A7" s="6">
        <v>5</v>
      </c>
      <c r="B7" s="15" t="s">
        <v>71</v>
      </c>
    </row>
    <row r="8" spans="1:2" ht="90">
      <c r="A8" s="6">
        <v>6</v>
      </c>
      <c r="B8" s="15" t="s">
        <v>70</v>
      </c>
    </row>
    <row r="9" spans="1:2" ht="90">
      <c r="A9" s="6">
        <v>7</v>
      </c>
      <c r="B9" s="15" t="s">
        <v>145</v>
      </c>
    </row>
    <row r="10" spans="1:2" ht="135">
      <c r="A10" s="6">
        <v>8</v>
      </c>
      <c r="B10" s="15" t="s">
        <v>161</v>
      </c>
    </row>
    <row r="11" spans="1:2" ht="30">
      <c r="A11" s="6">
        <v>9</v>
      </c>
      <c r="B11" s="15" t="s">
        <v>72</v>
      </c>
    </row>
    <row r="12" spans="1:2" ht="30">
      <c r="A12" s="6">
        <v>10</v>
      </c>
      <c r="B12" s="15" t="s">
        <v>158</v>
      </c>
    </row>
    <row r="13" spans="1:2" ht="15">
      <c r="A13" s="6">
        <v>11</v>
      </c>
      <c r="B13" s="15" t="s">
        <v>159</v>
      </c>
    </row>
    <row r="14" spans="1:2" ht="30">
      <c r="A14" s="6">
        <v>12</v>
      </c>
      <c r="B14" s="15" t="s">
        <v>160</v>
      </c>
    </row>
    <row r="15" ht="15">
      <c r="A15" s="4"/>
    </row>
  </sheetData>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B14"/>
  <sheetViews>
    <sheetView workbookViewId="0" topLeftCell="A1">
      <selection activeCell="B27" sqref="B27"/>
    </sheetView>
  </sheetViews>
  <sheetFormatPr defaultColWidth="8.8515625" defaultRowHeight="15"/>
  <cols>
    <col min="1" max="1" width="7.8515625" style="0" customWidth="1"/>
    <col min="2" max="2" width="82.28125" style="0" customWidth="1"/>
  </cols>
  <sheetData>
    <row r="1" ht="28.5" customHeight="1">
      <c r="A1" s="17" t="s">
        <v>211</v>
      </c>
    </row>
    <row r="2" spans="1:2" ht="30">
      <c r="A2" s="6">
        <v>1</v>
      </c>
      <c r="B2" s="15" t="s">
        <v>155</v>
      </c>
    </row>
    <row r="3" spans="1:2" ht="20.25" customHeight="1">
      <c r="A3" s="6">
        <v>2</v>
      </c>
      <c r="B3" s="16" t="s">
        <v>212</v>
      </c>
    </row>
    <row r="4" spans="1:2" ht="20.25" customHeight="1">
      <c r="A4" s="6">
        <v>3</v>
      </c>
      <c r="B4" s="16" t="s">
        <v>213</v>
      </c>
    </row>
    <row r="5" spans="1:2" ht="30">
      <c r="A5" s="6">
        <v>4</v>
      </c>
      <c r="B5" s="16" t="s">
        <v>214</v>
      </c>
    </row>
    <row r="6" spans="1:2" ht="54.75" customHeight="1">
      <c r="A6" s="6">
        <v>5</v>
      </c>
      <c r="B6" s="15" t="s">
        <v>156</v>
      </c>
    </row>
    <row r="7" spans="1:2" ht="20.25" customHeight="1">
      <c r="A7" s="6">
        <v>6</v>
      </c>
      <c r="B7" s="16" t="s">
        <v>215</v>
      </c>
    </row>
    <row r="8" spans="1:2" ht="20.25" customHeight="1">
      <c r="A8" s="6">
        <v>7</v>
      </c>
      <c r="B8" s="16" t="s">
        <v>216</v>
      </c>
    </row>
    <row r="9" spans="1:2" ht="20.25" customHeight="1">
      <c r="A9" s="6">
        <v>8</v>
      </c>
      <c r="B9" s="16" t="s">
        <v>217</v>
      </c>
    </row>
    <row r="10" spans="1:2" ht="30">
      <c r="A10" s="6">
        <v>9</v>
      </c>
      <c r="B10" s="16" t="s">
        <v>218</v>
      </c>
    </row>
    <row r="11" spans="1:2" ht="20.25" customHeight="1">
      <c r="A11" s="6">
        <v>10</v>
      </c>
      <c r="B11" s="16" t="s">
        <v>219</v>
      </c>
    </row>
    <row r="12" spans="1:2" ht="20.25" customHeight="1">
      <c r="A12" s="6">
        <v>11</v>
      </c>
      <c r="B12" s="16" t="s">
        <v>220</v>
      </c>
    </row>
    <row r="13" spans="1:2" ht="20.25" customHeight="1">
      <c r="A13" s="6">
        <v>12</v>
      </c>
      <c r="B13" s="16" t="s">
        <v>153</v>
      </c>
    </row>
    <row r="14" spans="1:2" ht="20.25" customHeight="1">
      <c r="A14" s="6">
        <v>13</v>
      </c>
      <c r="B14" s="16" t="s">
        <v>154</v>
      </c>
    </row>
  </sheetData>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2:I23"/>
  <sheetViews>
    <sheetView zoomScale="150" zoomScaleNormal="150" workbookViewId="0" topLeftCell="A5">
      <selection activeCell="H24" sqref="H24"/>
    </sheetView>
  </sheetViews>
  <sheetFormatPr defaultColWidth="11.421875" defaultRowHeight="15"/>
  <cols>
    <col min="1" max="1" width="12.421875" style="0" bestFit="1" customWidth="1"/>
    <col min="3" max="3" width="13.140625" style="0" bestFit="1" customWidth="1"/>
    <col min="4" max="4" width="15.7109375" style="0" bestFit="1" customWidth="1"/>
    <col min="5" max="8" width="14.00390625" style="0" bestFit="1" customWidth="1"/>
  </cols>
  <sheetData>
    <row r="2" spans="3:9" ht="13.5">
      <c r="C2" t="s">
        <v>76</v>
      </c>
      <c r="D2" t="s">
        <v>77</v>
      </c>
      <c r="E2" t="s">
        <v>78</v>
      </c>
      <c r="F2" t="s">
        <v>79</v>
      </c>
      <c r="G2" t="s">
        <v>80</v>
      </c>
      <c r="H2" t="s">
        <v>81</v>
      </c>
      <c r="I2" t="s">
        <v>82</v>
      </c>
    </row>
    <row r="3" spans="1:8" ht="13.5">
      <c r="A3" t="s">
        <v>73</v>
      </c>
      <c r="C3" s="33">
        <f>'Income Statement'!B4/sale!C4</f>
        <v>90217.39130434782</v>
      </c>
      <c r="D3" s="33">
        <f>'Income Statement'!C4/sale!D4</f>
        <v>128670.70563079117</v>
      </c>
      <c r="E3" s="33">
        <f>'Income Statement'!D4/sale!E4</f>
        <v>187732.66887115434</v>
      </c>
      <c r="F3" s="33">
        <f>'Income Statement'!E4/sale!F4</f>
        <v>273905.04146774975</v>
      </c>
      <c r="G3" s="33">
        <f>'Income Statement'!F4/sale!G4</f>
        <v>399631.94574802835</v>
      </c>
      <c r="H3" s="33">
        <f>'Income Statement'!G4/sale!H4</f>
        <v>583069.5601897464</v>
      </c>
    </row>
    <row r="4" spans="1:9" ht="13.5">
      <c r="A4" t="s">
        <v>74</v>
      </c>
      <c r="C4">
        <v>46</v>
      </c>
      <c r="D4">
        <f>C4*(1+$I$4)</f>
        <v>56.12</v>
      </c>
      <c r="E4">
        <f>D4*(1+$I$4)</f>
        <v>68.4664</v>
      </c>
      <c r="F4">
        <f>E4*(1+$I$4)</f>
        <v>83.52900799999999</v>
      </c>
      <c r="G4">
        <f>F4*(1+$I$4)</f>
        <v>101.90538975999999</v>
      </c>
      <c r="H4">
        <f>G4*(1+$I$4)</f>
        <v>124.32457550719998</v>
      </c>
      <c r="I4" s="30">
        <v>0.22</v>
      </c>
    </row>
    <row r="5" spans="1:8" ht="13.5">
      <c r="A5" t="s">
        <v>75</v>
      </c>
      <c r="C5" s="34">
        <f>C3*C4</f>
        <v>4150000</v>
      </c>
      <c r="D5" s="34">
        <f>D3*D4</f>
        <v>7221000</v>
      </c>
      <c r="E5" s="34">
        <f>E3*E4</f>
        <v>12853380</v>
      </c>
      <c r="F5" s="34">
        <f>F3*F4</f>
        <v>22879016.4</v>
      </c>
      <c r="G5" s="34">
        <f>G3*G4</f>
        <v>40724649.192</v>
      </c>
      <c r="H5" s="34">
        <f>H3*H4</f>
        <v>72489875.56176001</v>
      </c>
    </row>
    <row r="8" spans="1:9" ht="13.5">
      <c r="A8" t="s">
        <v>51</v>
      </c>
      <c r="C8">
        <v>22</v>
      </c>
      <c r="D8" s="32">
        <f>C8*(1+$I$8)</f>
        <v>22.880000000000003</v>
      </c>
      <c r="E8" s="32">
        <f>D8*(1+$I$8)</f>
        <v>23.795200000000005</v>
      </c>
      <c r="F8" s="32">
        <f>E8*(1+$I$8)</f>
        <v>24.747008000000005</v>
      </c>
      <c r="G8" s="32">
        <f>F8*(1+$I$8)</f>
        <v>25.736888320000006</v>
      </c>
      <c r="H8" s="32">
        <f>G8*(1+$I$8)</f>
        <v>26.766363852800005</v>
      </c>
      <c r="I8" s="30">
        <v>0.04</v>
      </c>
    </row>
    <row r="10" ht="13.5">
      <c r="A10" s="48" t="s">
        <v>57</v>
      </c>
    </row>
    <row r="11" spans="1:8" ht="13.5">
      <c r="A11" t="s">
        <v>52</v>
      </c>
      <c r="C11" s="45"/>
      <c r="D11" s="46">
        <f>C14</f>
        <v>14000</v>
      </c>
      <c r="E11" s="46">
        <f>D14</f>
        <v>14840</v>
      </c>
      <c r="F11" s="46">
        <f>E14</f>
        <v>15730.400000000001</v>
      </c>
      <c r="G11" s="46">
        <f>F14</f>
        <v>16674.224000000002</v>
      </c>
      <c r="H11" s="46">
        <f>G14</f>
        <v>17674.677440000003</v>
      </c>
    </row>
    <row r="12" spans="1:8" ht="13.5">
      <c r="A12" t="s">
        <v>53</v>
      </c>
      <c r="C12" s="45"/>
      <c r="D12" s="46">
        <f>D13-D11</f>
        <v>129510.70563079117</v>
      </c>
      <c r="E12" s="46">
        <f>E13-E11</f>
        <v>188623.06887115433</v>
      </c>
      <c r="F12" s="46">
        <f>F13-F11</f>
        <v>274848.8654677497</v>
      </c>
      <c r="G12" s="46">
        <f>G13-G11</f>
        <v>400632.39918802836</v>
      </c>
      <c r="H12" s="46">
        <f>H13-H11</f>
        <v>584130.0408361465</v>
      </c>
    </row>
    <row r="13" spans="1:8" ht="13.5">
      <c r="A13" t="s">
        <v>56</v>
      </c>
      <c r="C13" s="46"/>
      <c r="D13" s="46">
        <f>D14+D15</f>
        <v>143510.70563079117</v>
      </c>
      <c r="E13" s="46">
        <f>E14+E15</f>
        <v>203463.06887115433</v>
      </c>
      <c r="F13" s="46">
        <f>F14+F15</f>
        <v>290579.26546774973</v>
      </c>
      <c r="G13" s="46">
        <f>G14+G15</f>
        <v>417306.62318802834</v>
      </c>
      <c r="H13" s="46">
        <f>H14+H15</f>
        <v>601804.7182761465</v>
      </c>
    </row>
    <row r="14" spans="1:9" ht="13.5">
      <c r="A14" t="s">
        <v>54</v>
      </c>
      <c r="C14" s="46">
        <f>'Balance Sheet'!B10/sale!C8</f>
        <v>14000</v>
      </c>
      <c r="D14" s="46">
        <f>C14*(1+$I$14)</f>
        <v>14840</v>
      </c>
      <c r="E14" s="46">
        <f>D14*(1+$I$14)</f>
        <v>15730.400000000001</v>
      </c>
      <c r="F14" s="46">
        <f>E14*(1+$I$14)</f>
        <v>16674.224000000002</v>
      </c>
      <c r="G14" s="46">
        <f>F14*(1+$I$14)</f>
        <v>17674.677440000003</v>
      </c>
      <c r="H14" s="46">
        <f>G14*(1+$I$14)</f>
        <v>18735.158086400003</v>
      </c>
      <c r="I14" s="30">
        <v>0.06</v>
      </c>
    </row>
    <row r="15" spans="1:8" ht="13.5">
      <c r="A15" t="s">
        <v>55</v>
      </c>
      <c r="C15" s="44"/>
      <c r="D15" s="47">
        <f>D3</f>
        <v>128670.70563079117</v>
      </c>
      <c r="E15" s="47">
        <f>E3</f>
        <v>187732.66887115434</v>
      </c>
      <c r="F15" s="47">
        <f>F3</f>
        <v>273905.04146774975</v>
      </c>
      <c r="G15" s="47">
        <f>G3</f>
        <v>399631.94574802835</v>
      </c>
      <c r="H15" s="47">
        <f>H3</f>
        <v>583069.5601897464</v>
      </c>
    </row>
    <row r="19" spans="1:8" ht="13.5">
      <c r="A19" t="s">
        <v>52</v>
      </c>
      <c r="D19" s="34">
        <f>D11*C8</f>
        <v>308000</v>
      </c>
      <c r="E19" s="34">
        <f>E11*D8</f>
        <v>339539.2</v>
      </c>
      <c r="F19" s="34">
        <f>F11*E8</f>
        <v>374308.0140800001</v>
      </c>
      <c r="G19" s="34">
        <f>G11*F8</f>
        <v>412637.15472179215</v>
      </c>
      <c r="H19" s="34">
        <f>H11*G8</f>
        <v>454891.1993653037</v>
      </c>
    </row>
    <row r="20" spans="1:8" ht="13.5">
      <c r="A20" t="s">
        <v>53</v>
      </c>
      <c r="D20" s="34">
        <f>D12*D8</f>
        <v>2963204.9448325024</v>
      </c>
      <c r="E20" s="34">
        <f>E12*E8</f>
        <v>4488323.648402892</v>
      </c>
      <c r="F20" s="34">
        <f>F12*F8</f>
        <v>6801687.072521327</v>
      </c>
      <c r="G20" s="34">
        <f>G12*G8</f>
        <v>10311031.315275947</v>
      </c>
      <c r="H20" s="34">
        <f>H12*H8</f>
        <v>15635037.21037122</v>
      </c>
    </row>
    <row r="21" spans="1:8" ht="13.5">
      <c r="A21" t="s">
        <v>56</v>
      </c>
      <c r="D21" s="40">
        <f>D19+D20</f>
        <v>3271204.9448325024</v>
      </c>
      <c r="E21" s="40">
        <f>E19+E20</f>
        <v>4827862.848402892</v>
      </c>
      <c r="F21" s="40">
        <f>F19+F20</f>
        <v>7175995.086601327</v>
      </c>
      <c r="G21" s="40">
        <f>G19+G20</f>
        <v>10723668.46999774</v>
      </c>
      <c r="H21" s="40">
        <f>H19+H20</f>
        <v>16089928.409736523</v>
      </c>
    </row>
    <row r="22" spans="1:8" ht="13.5">
      <c r="A22" t="s">
        <v>54</v>
      </c>
      <c r="D22" s="40">
        <f>D21-D23</f>
        <v>327219.2000000002</v>
      </c>
      <c r="E22" s="40">
        <f>E21-E23</f>
        <v>360726.4460799992</v>
      </c>
      <c r="F22" s="40">
        <f>F21-F23</f>
        <v>397664.834158591</v>
      </c>
      <c r="G22" s="40">
        <f>G21-G23</f>
        <v>438385.713176433</v>
      </c>
      <c r="H22" s="40">
        <f>H21-H23</f>
        <v>483276.41020569764</v>
      </c>
    </row>
    <row r="23" spans="1:8" ht="13.5">
      <c r="A23" t="s">
        <v>55</v>
      </c>
      <c r="D23" s="34">
        <f>D15*D8</f>
        <v>2943985.744832502</v>
      </c>
      <c r="E23" s="34">
        <f>E15*E8</f>
        <v>4467136.402322893</v>
      </c>
      <c r="F23" s="34">
        <f>F15*F8</f>
        <v>6778330.252442736</v>
      </c>
      <c r="G23" s="34">
        <f>G15*G8</f>
        <v>10285282.756821306</v>
      </c>
      <c r="H23" s="34">
        <f>H15*H8</f>
        <v>15606651.999530826</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G89"/>
  <sheetViews>
    <sheetView zoomScale="125" zoomScaleNormal="125" workbookViewId="0" topLeftCell="A6">
      <selection activeCell="G89" sqref="G89"/>
    </sheetView>
  </sheetViews>
  <sheetFormatPr defaultColWidth="11.421875" defaultRowHeight="15"/>
  <cols>
    <col min="2" max="2" width="13.140625" style="0" bestFit="1" customWidth="1"/>
    <col min="3" max="3" width="11.7109375" style="0" bestFit="1" customWidth="1"/>
    <col min="4" max="4" width="18.421875" style="0" bestFit="1" customWidth="1"/>
    <col min="5" max="5" width="14.140625" style="0" bestFit="1" customWidth="1"/>
    <col min="6" max="7" width="11.7109375" style="0" bestFit="1" customWidth="1"/>
  </cols>
  <sheetData>
    <row r="2" spans="1:2" ht="13.5">
      <c r="A2" t="s">
        <v>84</v>
      </c>
      <c r="B2" s="39">
        <v>8000000</v>
      </c>
    </row>
    <row r="3" spans="1:2" ht="13.5">
      <c r="A3" t="s">
        <v>85</v>
      </c>
      <c r="B3" s="35">
        <f>5%/4</f>
        <v>0.0125</v>
      </c>
    </row>
    <row r="4" spans="1:2" ht="13.5">
      <c r="A4" t="s">
        <v>86</v>
      </c>
      <c r="B4">
        <v>80</v>
      </c>
    </row>
    <row r="5" spans="1:2" ht="13.5">
      <c r="A5" t="s">
        <v>87</v>
      </c>
      <c r="B5" s="37">
        <f>PMT(B3,B4,B2,0)</f>
        <v>-158772.1922215337</v>
      </c>
    </row>
    <row r="8" spans="5:7" ht="13.5">
      <c r="E8" t="s">
        <v>92</v>
      </c>
      <c r="F8" t="s">
        <v>93</v>
      </c>
      <c r="G8" t="s">
        <v>94</v>
      </c>
    </row>
    <row r="9" spans="1:5" ht="13.5">
      <c r="A9" t="s">
        <v>88</v>
      </c>
      <c r="B9" t="s">
        <v>89</v>
      </c>
      <c r="C9" t="s">
        <v>90</v>
      </c>
      <c r="D9" t="s">
        <v>91</v>
      </c>
      <c r="E9" s="38">
        <f>B2</f>
        <v>8000000</v>
      </c>
    </row>
    <row r="10" spans="1:5" ht="13.5">
      <c r="A10" t="s">
        <v>95</v>
      </c>
      <c r="B10" s="37">
        <f>$B$5</f>
        <v>-158772.1922215337</v>
      </c>
      <c r="C10" s="40">
        <f>$B$3*E9</f>
        <v>100000</v>
      </c>
      <c r="D10" s="37">
        <f>B10+C10</f>
        <v>-58772.19222153371</v>
      </c>
      <c r="E10" s="40">
        <f>E9+D10</f>
        <v>7941227.8077784665</v>
      </c>
    </row>
    <row r="11" spans="1:5" ht="13.5">
      <c r="A11" t="s">
        <v>96</v>
      </c>
      <c r="B11" s="37">
        <f aca="true" t="shared" si="0" ref="B11:B74">$B$5</f>
        <v>-158772.1922215337</v>
      </c>
      <c r="C11" s="40">
        <f aca="true" t="shared" si="1" ref="C11:C29">$B$3*E10</f>
        <v>99265.34759723084</v>
      </c>
      <c r="D11" s="37">
        <f aca="true" t="shared" si="2" ref="D11:D29">B11+C11</f>
        <v>-59506.844624302874</v>
      </c>
      <c r="E11" s="40">
        <f aca="true" t="shared" si="3" ref="E11:E29">E10+D11</f>
        <v>7881720.963154163</v>
      </c>
    </row>
    <row r="12" spans="1:5" ht="13.5">
      <c r="A12" t="s">
        <v>97</v>
      </c>
      <c r="B12" s="37">
        <f t="shared" si="0"/>
        <v>-158772.1922215337</v>
      </c>
      <c r="C12" s="40">
        <f t="shared" si="1"/>
        <v>98521.51203942705</v>
      </c>
      <c r="D12" s="37">
        <f t="shared" si="2"/>
        <v>-60250.68018210666</v>
      </c>
      <c r="E12" s="40">
        <f t="shared" si="3"/>
        <v>7821470.282972056</v>
      </c>
    </row>
    <row r="13" spans="1:7" ht="13.5">
      <c r="A13" t="s">
        <v>98</v>
      </c>
      <c r="B13" s="37">
        <f t="shared" si="0"/>
        <v>-158772.1922215337</v>
      </c>
      <c r="C13" s="40">
        <f t="shared" si="1"/>
        <v>97768.37853715071</v>
      </c>
      <c r="D13" s="37">
        <f t="shared" si="2"/>
        <v>-61003.813684383</v>
      </c>
      <c r="E13" s="40">
        <f t="shared" si="3"/>
        <v>7760466.469287673</v>
      </c>
      <c r="F13" s="40">
        <f>SUM(C10:C13)</f>
        <v>395555.23817380855</v>
      </c>
      <c r="G13" s="37">
        <f>-SUM(D10:D13)</f>
        <v>239533.53071232623</v>
      </c>
    </row>
    <row r="14" spans="1:5" ht="13.5">
      <c r="A14" t="s">
        <v>99</v>
      </c>
      <c r="B14" s="37">
        <f t="shared" si="0"/>
        <v>-158772.1922215337</v>
      </c>
      <c r="C14" s="40">
        <f t="shared" si="1"/>
        <v>97005.83086609592</v>
      </c>
      <c r="D14" s="37">
        <f t="shared" si="2"/>
        <v>-61766.361355437795</v>
      </c>
      <c r="E14" s="40">
        <f t="shared" si="3"/>
        <v>7698700.107932235</v>
      </c>
    </row>
    <row r="15" spans="1:5" ht="13.5">
      <c r="A15" t="s">
        <v>100</v>
      </c>
      <c r="B15" s="37">
        <f t="shared" si="0"/>
        <v>-158772.1922215337</v>
      </c>
      <c r="C15" s="40">
        <f t="shared" si="1"/>
        <v>96233.75134915294</v>
      </c>
      <c r="D15" s="37">
        <f t="shared" si="2"/>
        <v>-62538.44087238077</v>
      </c>
      <c r="E15" s="40">
        <f t="shared" si="3"/>
        <v>7636161.667059855</v>
      </c>
    </row>
    <row r="16" spans="1:5" ht="13.5">
      <c r="A16" t="s">
        <v>101</v>
      </c>
      <c r="B16" s="37">
        <f t="shared" si="0"/>
        <v>-158772.1922215337</v>
      </c>
      <c r="C16" s="40">
        <f t="shared" si="1"/>
        <v>95452.0208382482</v>
      </c>
      <c r="D16" s="37">
        <f t="shared" si="2"/>
        <v>-63320.17138328552</v>
      </c>
      <c r="E16" s="40">
        <f t="shared" si="3"/>
        <v>7572841.495676569</v>
      </c>
    </row>
    <row r="17" spans="1:7" ht="13.5">
      <c r="A17" t="s">
        <v>102</v>
      </c>
      <c r="B17" s="37">
        <f t="shared" si="0"/>
        <v>-158772.1922215337</v>
      </c>
      <c r="C17" s="40">
        <f t="shared" si="1"/>
        <v>94660.51869595711</v>
      </c>
      <c r="D17" s="37">
        <f t="shared" si="2"/>
        <v>-64111.673525576596</v>
      </c>
      <c r="E17" s="40">
        <f t="shared" si="3"/>
        <v>7508729.822150992</v>
      </c>
      <c r="F17" s="40">
        <f>SUM(C14:C17)</f>
        <v>383352.1217494542</v>
      </c>
      <c r="G17" s="37">
        <f>-SUM(D14:D17)</f>
        <v>251736.64713668067</v>
      </c>
    </row>
    <row r="18" spans="1:5" ht="13.5">
      <c r="A18" t="s">
        <v>103</v>
      </c>
      <c r="B18" s="37">
        <f t="shared" si="0"/>
        <v>-158772.1922215337</v>
      </c>
      <c r="C18" s="40">
        <f t="shared" si="1"/>
        <v>93859.12277688741</v>
      </c>
      <c r="D18" s="37">
        <f t="shared" si="2"/>
        <v>-64913.0694446463</v>
      </c>
      <c r="E18" s="40">
        <f t="shared" si="3"/>
        <v>7443816.752706346</v>
      </c>
    </row>
    <row r="19" spans="1:5" ht="13.5">
      <c r="A19" t="s">
        <v>104</v>
      </c>
      <c r="B19" s="37">
        <f t="shared" si="0"/>
        <v>-158772.1922215337</v>
      </c>
      <c r="C19" s="40">
        <f t="shared" si="1"/>
        <v>93047.70940882934</v>
      </c>
      <c r="D19" s="37">
        <f t="shared" si="2"/>
        <v>-65724.48281270437</v>
      </c>
      <c r="E19" s="40">
        <f t="shared" si="3"/>
        <v>7378092.269893642</v>
      </c>
    </row>
    <row r="20" spans="1:5" ht="13.5">
      <c r="A20" t="s">
        <v>105</v>
      </c>
      <c r="B20" s="37">
        <f t="shared" si="0"/>
        <v>-158772.1922215337</v>
      </c>
      <c r="C20" s="40">
        <f t="shared" si="1"/>
        <v>92226.15337367053</v>
      </c>
      <c r="D20" s="37">
        <f t="shared" si="2"/>
        <v>-66546.03884786318</v>
      </c>
      <c r="E20" s="40">
        <f t="shared" si="3"/>
        <v>7311546.231045779</v>
      </c>
    </row>
    <row r="21" spans="1:7" ht="13.5">
      <c r="A21" t="s">
        <v>106</v>
      </c>
      <c r="B21" s="37">
        <f t="shared" si="0"/>
        <v>-158772.1922215337</v>
      </c>
      <c r="C21" s="40">
        <f t="shared" si="1"/>
        <v>91394.32788807224</v>
      </c>
      <c r="D21" s="37">
        <f t="shared" si="2"/>
        <v>-67377.86433346148</v>
      </c>
      <c r="E21" s="40">
        <f t="shared" si="3"/>
        <v>7244168.366712318</v>
      </c>
      <c r="F21" s="40">
        <f>SUM(C18:C21)</f>
        <v>370527.3134474595</v>
      </c>
      <c r="G21" s="37">
        <f>-SUM(D18:D21)</f>
        <v>264561.45543867536</v>
      </c>
    </row>
    <row r="22" spans="1:5" ht="13.5">
      <c r="A22" t="s">
        <v>107</v>
      </c>
      <c r="B22" s="37">
        <f t="shared" si="0"/>
        <v>-158772.1922215337</v>
      </c>
      <c r="C22" s="40">
        <f t="shared" si="1"/>
        <v>90552.10458390397</v>
      </c>
      <c r="D22" s="37">
        <f t="shared" si="2"/>
        <v>-68220.08763762974</v>
      </c>
      <c r="E22" s="40">
        <f t="shared" si="3"/>
        <v>7175948.279074688</v>
      </c>
    </row>
    <row r="23" spans="1:5" ht="13.5">
      <c r="A23" t="s">
        <v>108</v>
      </c>
      <c r="B23" s="37">
        <f t="shared" si="0"/>
        <v>-158772.1922215337</v>
      </c>
      <c r="C23" s="40">
        <f t="shared" si="1"/>
        <v>89699.35348843361</v>
      </c>
      <c r="D23" s="37">
        <f t="shared" si="2"/>
        <v>-69072.8387331001</v>
      </c>
      <c r="E23" s="40">
        <f t="shared" si="3"/>
        <v>7106875.440341588</v>
      </c>
    </row>
    <row r="24" spans="1:5" ht="13.5">
      <c r="A24" t="s">
        <v>109</v>
      </c>
      <c r="B24" s="37">
        <f t="shared" si="0"/>
        <v>-158772.1922215337</v>
      </c>
      <c r="C24" s="40">
        <f t="shared" si="1"/>
        <v>88835.94300426985</v>
      </c>
      <c r="D24" s="37">
        <f t="shared" si="2"/>
        <v>-69936.24921726386</v>
      </c>
      <c r="E24" s="40">
        <f t="shared" si="3"/>
        <v>7036939.191124325</v>
      </c>
    </row>
    <row r="25" spans="1:7" ht="13.5">
      <c r="A25" t="s">
        <v>110</v>
      </c>
      <c r="B25" s="37">
        <f t="shared" si="0"/>
        <v>-158772.1922215337</v>
      </c>
      <c r="C25" s="40">
        <f t="shared" si="1"/>
        <v>87961.73988905406</v>
      </c>
      <c r="D25" s="37">
        <f t="shared" si="2"/>
        <v>-70810.45233247965</v>
      </c>
      <c r="E25" s="40">
        <f t="shared" si="3"/>
        <v>6966128.738791845</v>
      </c>
      <c r="F25" s="40">
        <f>SUM(C22:C25)</f>
        <v>357049.1409656615</v>
      </c>
      <c r="G25" s="37">
        <f>-SUM(D22:D25)</f>
        <v>278039.62792047334</v>
      </c>
    </row>
    <row r="26" spans="1:5" ht="13.5">
      <c r="A26" t="s">
        <v>111</v>
      </c>
      <c r="B26" s="37">
        <f t="shared" si="0"/>
        <v>-158772.1922215337</v>
      </c>
      <c r="C26" s="40">
        <f t="shared" si="1"/>
        <v>87076.60923489806</v>
      </c>
      <c r="D26" s="37">
        <f t="shared" si="2"/>
        <v>-71695.58298663565</v>
      </c>
      <c r="E26" s="40">
        <f t="shared" si="3"/>
        <v>6894433.155805209</v>
      </c>
    </row>
    <row r="27" spans="1:5" ht="13.5">
      <c r="A27" t="s">
        <v>112</v>
      </c>
      <c r="B27" s="37">
        <f t="shared" si="0"/>
        <v>-158772.1922215337</v>
      </c>
      <c r="C27" s="40">
        <f t="shared" si="1"/>
        <v>86180.41444756511</v>
      </c>
      <c r="D27" s="37">
        <f t="shared" si="2"/>
        <v>-72591.7777739686</v>
      </c>
      <c r="E27" s="40">
        <f t="shared" si="3"/>
        <v>6821841.37803124</v>
      </c>
    </row>
    <row r="28" spans="1:5" ht="13.5">
      <c r="A28" t="s">
        <v>113</v>
      </c>
      <c r="B28" s="37">
        <f t="shared" si="0"/>
        <v>-158772.1922215337</v>
      </c>
      <c r="C28" s="40">
        <f t="shared" si="1"/>
        <v>85273.0172253905</v>
      </c>
      <c r="D28" s="37">
        <f t="shared" si="2"/>
        <v>-73499.1749961432</v>
      </c>
      <c r="E28" s="40">
        <f t="shared" si="3"/>
        <v>6748342.203035097</v>
      </c>
    </row>
    <row r="29" spans="1:7" ht="13.5">
      <c r="A29" t="s">
        <v>114</v>
      </c>
      <c r="B29" s="37">
        <f t="shared" si="0"/>
        <v>-158772.1922215337</v>
      </c>
      <c r="C29" s="40">
        <f t="shared" si="1"/>
        <v>84354.27753793872</v>
      </c>
      <c r="D29" s="37">
        <f t="shared" si="2"/>
        <v>-74417.914683595</v>
      </c>
      <c r="E29" s="40">
        <f t="shared" si="3"/>
        <v>6673924.288351501</v>
      </c>
      <c r="F29" s="40">
        <f>SUM(C26:C29)</f>
        <v>342884.31844579236</v>
      </c>
      <c r="G29" s="37">
        <f>-SUM(D26:D29)</f>
        <v>292204.4504403425</v>
      </c>
    </row>
    <row r="30" spans="1:5" ht="13.5">
      <c r="A30" t="s">
        <v>115</v>
      </c>
      <c r="B30" s="37">
        <f t="shared" si="0"/>
        <v>-158772.1922215337</v>
      </c>
      <c r="C30" s="40">
        <f aca="true" t="shared" si="4" ref="C30:C89">$B$3*E29</f>
        <v>83424.05360439378</v>
      </c>
      <c r="D30" s="37">
        <f aca="true" t="shared" si="5" ref="D30:D89">B30+C30</f>
        <v>-75348.13861713994</v>
      </c>
      <c r="E30" s="40">
        <f aca="true" t="shared" si="6" ref="E30:E89">E29+D30</f>
        <v>6598576.149734361</v>
      </c>
    </row>
    <row r="31" spans="1:5" ht="13.5">
      <c r="A31" t="s">
        <v>116</v>
      </c>
      <c r="B31" s="37">
        <f t="shared" si="0"/>
        <v>-158772.1922215337</v>
      </c>
      <c r="C31" s="40">
        <f t="shared" si="4"/>
        <v>82482.20187167951</v>
      </c>
      <c r="D31" s="37">
        <f t="shared" si="5"/>
        <v>-76289.9903498542</v>
      </c>
      <c r="E31" s="40">
        <f t="shared" si="6"/>
        <v>6522286.159384507</v>
      </c>
    </row>
    <row r="32" spans="1:5" ht="13.5">
      <c r="A32" t="s">
        <v>117</v>
      </c>
      <c r="B32" s="37">
        <f t="shared" si="0"/>
        <v>-158772.1922215337</v>
      </c>
      <c r="C32" s="40">
        <f t="shared" si="4"/>
        <v>81528.57699230633</v>
      </c>
      <c r="D32" s="37">
        <f t="shared" si="5"/>
        <v>-77243.61522922738</v>
      </c>
      <c r="E32" s="40">
        <f t="shared" si="6"/>
        <v>6445042.544155279</v>
      </c>
    </row>
    <row r="33" spans="1:7" ht="13.5">
      <c r="A33" t="s">
        <v>118</v>
      </c>
      <c r="B33" s="37">
        <f t="shared" si="0"/>
        <v>-158772.1922215337</v>
      </c>
      <c r="C33" s="40">
        <f t="shared" si="4"/>
        <v>80563.03180194099</v>
      </c>
      <c r="D33" s="37">
        <f t="shared" si="5"/>
        <v>-78209.16041959272</v>
      </c>
      <c r="E33" s="40">
        <f t="shared" si="6"/>
        <v>6366833.383735687</v>
      </c>
      <c r="F33" s="40">
        <f>SUM(C30:C33)</f>
        <v>327997.8642703206</v>
      </c>
      <c r="G33" s="37">
        <f>-SUM(D30:D33)</f>
        <v>307090.9046158142</v>
      </c>
    </row>
    <row r="34" spans="1:5" ht="13.5">
      <c r="A34" t="s">
        <v>119</v>
      </c>
      <c r="B34" s="37">
        <f t="shared" si="0"/>
        <v>-158772.1922215337</v>
      </c>
      <c r="C34" s="40">
        <f t="shared" si="4"/>
        <v>79585.41729669609</v>
      </c>
      <c r="D34" s="37">
        <f t="shared" si="5"/>
        <v>-79186.77492483762</v>
      </c>
      <c r="E34" s="40">
        <f t="shared" si="6"/>
        <v>6287646.608810849</v>
      </c>
    </row>
    <row r="35" spans="1:5" ht="13.5">
      <c r="A35" t="s">
        <v>120</v>
      </c>
      <c r="B35" s="37">
        <f t="shared" si="0"/>
        <v>-158772.1922215337</v>
      </c>
      <c r="C35" s="40">
        <f t="shared" si="4"/>
        <v>78595.5826101356</v>
      </c>
      <c r="D35" s="37">
        <f t="shared" si="5"/>
        <v>-80176.6096113981</v>
      </c>
      <c r="E35" s="40">
        <f t="shared" si="6"/>
        <v>6207469.99919945</v>
      </c>
    </row>
    <row r="36" spans="1:5" ht="13.5">
      <c r="A36" t="s">
        <v>121</v>
      </c>
      <c r="B36" s="37">
        <f t="shared" si="0"/>
        <v>-158772.1922215337</v>
      </c>
      <c r="C36" s="40">
        <f t="shared" si="4"/>
        <v>77593.37498999313</v>
      </c>
      <c r="D36" s="37">
        <f t="shared" si="5"/>
        <v>-81178.81723154058</v>
      </c>
      <c r="E36" s="40">
        <f t="shared" si="6"/>
        <v>6126291.181967909</v>
      </c>
    </row>
    <row r="37" spans="1:7" ht="13.5">
      <c r="A37" t="s">
        <v>122</v>
      </c>
      <c r="B37" s="37">
        <f t="shared" si="0"/>
        <v>-158772.1922215337</v>
      </c>
      <c r="C37" s="40">
        <f t="shared" si="4"/>
        <v>76578.63977459887</v>
      </c>
      <c r="D37" s="37">
        <f t="shared" si="5"/>
        <v>-82193.55244693485</v>
      </c>
      <c r="E37" s="40">
        <f t="shared" si="6"/>
        <v>6044097.629520975</v>
      </c>
      <c r="F37" s="40">
        <f>SUM(C34:C37)</f>
        <v>312353.0146714237</v>
      </c>
      <c r="G37" s="37">
        <f>-SUM(D34:D37)</f>
        <v>322735.75421471114</v>
      </c>
    </row>
    <row r="38" spans="1:5" ht="13.5">
      <c r="A38" t="s">
        <v>123</v>
      </c>
      <c r="B38" s="37">
        <f t="shared" si="0"/>
        <v>-158772.1922215337</v>
      </c>
      <c r="C38" s="40">
        <f t="shared" si="4"/>
        <v>75551.2203690122</v>
      </c>
      <c r="D38" s="37">
        <f t="shared" si="5"/>
        <v>-83220.97185252151</v>
      </c>
      <c r="E38" s="40">
        <f t="shared" si="6"/>
        <v>5960876.657668454</v>
      </c>
    </row>
    <row r="39" spans="1:5" ht="13.5">
      <c r="A39" t="s">
        <v>124</v>
      </c>
      <c r="B39" s="37">
        <f t="shared" si="0"/>
        <v>-158772.1922215337</v>
      </c>
      <c r="C39" s="40">
        <f t="shared" si="4"/>
        <v>74510.95822085567</v>
      </c>
      <c r="D39" s="37">
        <f t="shared" si="5"/>
        <v>-84261.23400067804</v>
      </c>
      <c r="E39" s="40">
        <f t="shared" si="6"/>
        <v>5876615.4236677755</v>
      </c>
    </row>
    <row r="40" spans="1:5" ht="13.5">
      <c r="A40" t="s">
        <v>125</v>
      </c>
      <c r="B40" s="37">
        <f t="shared" si="0"/>
        <v>-158772.1922215337</v>
      </c>
      <c r="C40" s="40">
        <f t="shared" si="4"/>
        <v>73457.6927958472</v>
      </c>
      <c r="D40" s="37">
        <f t="shared" si="5"/>
        <v>-85314.49942568652</v>
      </c>
      <c r="E40" s="40">
        <f t="shared" si="6"/>
        <v>5791300.924242089</v>
      </c>
    </row>
    <row r="41" spans="1:7" ht="13.5">
      <c r="A41" t="s">
        <v>126</v>
      </c>
      <c r="B41" s="37">
        <f t="shared" si="0"/>
        <v>-158772.1922215337</v>
      </c>
      <c r="C41" s="40">
        <f t="shared" si="4"/>
        <v>72391.26155302611</v>
      </c>
      <c r="D41" s="37">
        <f t="shared" si="5"/>
        <v>-86380.9306685076</v>
      </c>
      <c r="E41" s="40">
        <f t="shared" si="6"/>
        <v>5704919.993573581</v>
      </c>
      <c r="F41" s="40">
        <f>SUM(C38:C41)</f>
        <v>295911.1329387412</v>
      </c>
      <c r="G41" s="37">
        <f>-SUM(D38:D41)</f>
        <v>339177.63594739366</v>
      </c>
    </row>
    <row r="42" spans="1:5" ht="13.5">
      <c r="A42" t="s">
        <v>127</v>
      </c>
      <c r="B42" s="37">
        <f t="shared" si="0"/>
        <v>-158772.1922215337</v>
      </c>
      <c r="C42" s="40">
        <f t="shared" si="4"/>
        <v>71311.49991966976</v>
      </c>
      <c r="D42" s="37">
        <f t="shared" si="5"/>
        <v>-87460.69230186395</v>
      </c>
      <c r="E42" s="40">
        <f t="shared" si="6"/>
        <v>5617459.301271717</v>
      </c>
    </row>
    <row r="43" spans="1:5" ht="13.5">
      <c r="A43" t="s">
        <v>128</v>
      </c>
      <c r="B43" s="37">
        <f t="shared" si="0"/>
        <v>-158772.1922215337</v>
      </c>
      <c r="C43" s="40">
        <f t="shared" si="4"/>
        <v>70218.24126589646</v>
      </c>
      <c r="D43" s="37">
        <f t="shared" si="5"/>
        <v>-88553.95095563725</v>
      </c>
      <c r="E43" s="40">
        <f t="shared" si="6"/>
        <v>5528905.35031608</v>
      </c>
    </row>
    <row r="44" spans="1:5" ht="13.5">
      <c r="A44" t="s">
        <v>129</v>
      </c>
      <c r="B44" s="37">
        <f t="shared" si="0"/>
        <v>-158772.1922215337</v>
      </c>
      <c r="C44" s="40">
        <f t="shared" si="4"/>
        <v>69111.31687895101</v>
      </c>
      <c r="D44" s="37">
        <f t="shared" si="5"/>
        <v>-89660.8753425827</v>
      </c>
      <c r="E44" s="40">
        <f t="shared" si="6"/>
        <v>5439244.474973498</v>
      </c>
    </row>
    <row r="45" spans="1:7" ht="13.5">
      <c r="A45" t="s">
        <v>130</v>
      </c>
      <c r="B45" s="37">
        <f t="shared" si="0"/>
        <v>-158772.1922215337</v>
      </c>
      <c r="C45" s="40">
        <f t="shared" si="4"/>
        <v>67990.55593716873</v>
      </c>
      <c r="D45" s="37">
        <f t="shared" si="5"/>
        <v>-90781.63628436498</v>
      </c>
      <c r="E45" s="40">
        <f t="shared" si="6"/>
        <v>5348462.838689133</v>
      </c>
      <c r="F45" s="40">
        <f>SUM(C42:C45)</f>
        <v>278631.614001686</v>
      </c>
      <c r="G45" s="37">
        <f>-SUM(D42:D45)</f>
        <v>356457.15488444886</v>
      </c>
    </row>
    <row r="46" spans="1:5" ht="13.5">
      <c r="A46" t="s">
        <v>131</v>
      </c>
      <c r="B46" s="37">
        <f t="shared" si="0"/>
        <v>-158772.1922215337</v>
      </c>
      <c r="C46" s="40">
        <f t="shared" si="4"/>
        <v>66855.78548361416</v>
      </c>
      <c r="D46" s="37">
        <f t="shared" si="5"/>
        <v>-91916.40673791955</v>
      </c>
      <c r="E46" s="40">
        <f t="shared" si="6"/>
        <v>5256546.431951213</v>
      </c>
    </row>
    <row r="47" spans="1:5" ht="13.5">
      <c r="A47" t="s">
        <v>0</v>
      </c>
      <c r="B47" s="37">
        <f t="shared" si="0"/>
        <v>-158772.1922215337</v>
      </c>
      <c r="C47" s="40">
        <f t="shared" si="4"/>
        <v>65706.83039939016</v>
      </c>
      <c r="D47" s="37">
        <f t="shared" si="5"/>
        <v>-93065.36182214355</v>
      </c>
      <c r="E47" s="40">
        <f t="shared" si="6"/>
        <v>5163481.0701290695</v>
      </c>
    </row>
    <row r="48" spans="1:5" ht="13.5">
      <c r="A48" t="s">
        <v>1</v>
      </c>
      <c r="B48" s="37">
        <f t="shared" si="0"/>
        <v>-158772.1922215337</v>
      </c>
      <c r="C48" s="40">
        <f t="shared" si="4"/>
        <v>64543.51337661337</v>
      </c>
      <c r="D48" s="37">
        <f t="shared" si="5"/>
        <v>-94228.67884492033</v>
      </c>
      <c r="E48" s="40">
        <f t="shared" si="6"/>
        <v>5069252.391284149</v>
      </c>
    </row>
    <row r="49" spans="1:7" ht="13.5">
      <c r="A49" t="s">
        <v>2</v>
      </c>
      <c r="B49" s="37">
        <f t="shared" si="0"/>
        <v>-158772.1922215337</v>
      </c>
      <c r="C49" s="40">
        <f t="shared" si="4"/>
        <v>63365.65489105187</v>
      </c>
      <c r="D49" s="37">
        <f t="shared" si="5"/>
        <v>-95406.53733048183</v>
      </c>
      <c r="E49" s="40">
        <f t="shared" si="6"/>
        <v>4973845.853953667</v>
      </c>
      <c r="F49" s="40">
        <f>SUM(C46:C49)</f>
        <v>260471.78415066958</v>
      </c>
      <c r="G49" s="37">
        <f>-SUM(D46:D49)</f>
        <v>374616.98473546526</v>
      </c>
    </row>
    <row r="50" spans="1:5" ht="13.5">
      <c r="A50" t="s">
        <v>3</v>
      </c>
      <c r="B50" s="37">
        <f t="shared" si="0"/>
        <v>-158772.1922215337</v>
      </c>
      <c r="C50" s="40">
        <f t="shared" si="4"/>
        <v>62173.07317442084</v>
      </c>
      <c r="D50" s="37">
        <f t="shared" si="5"/>
        <v>-96599.11904711288</v>
      </c>
      <c r="E50" s="40">
        <f t="shared" si="6"/>
        <v>4877246.734906554</v>
      </c>
    </row>
    <row r="51" spans="1:5" ht="13.5">
      <c r="A51" t="s">
        <v>4</v>
      </c>
      <c r="B51" s="37">
        <f t="shared" si="0"/>
        <v>-158772.1922215337</v>
      </c>
      <c r="C51" s="40">
        <f t="shared" si="4"/>
        <v>60965.58418633193</v>
      </c>
      <c r="D51" s="37">
        <f t="shared" si="5"/>
        <v>-97806.60803520179</v>
      </c>
      <c r="E51" s="40">
        <f t="shared" si="6"/>
        <v>4779440.126871352</v>
      </c>
    </row>
    <row r="52" spans="1:5" ht="13.5">
      <c r="A52" t="s">
        <v>5</v>
      </c>
      <c r="B52" s="37">
        <f t="shared" si="0"/>
        <v>-158772.1922215337</v>
      </c>
      <c r="C52" s="40">
        <f t="shared" si="4"/>
        <v>59743.00158589191</v>
      </c>
      <c r="D52" s="37">
        <f t="shared" si="5"/>
        <v>-99029.1906356418</v>
      </c>
      <c r="E52" s="40">
        <f t="shared" si="6"/>
        <v>4680410.93623571</v>
      </c>
    </row>
    <row r="53" spans="1:7" ht="13.5">
      <c r="A53" t="s">
        <v>6</v>
      </c>
      <c r="B53" s="37">
        <f t="shared" si="0"/>
        <v>-158772.1922215337</v>
      </c>
      <c r="C53" s="40">
        <f t="shared" si="4"/>
        <v>58505.13670294638</v>
      </c>
      <c r="D53" s="37">
        <f t="shared" si="5"/>
        <v>-100267.05551858732</v>
      </c>
      <c r="E53" s="40">
        <f t="shared" si="6"/>
        <v>4580143.880717123</v>
      </c>
      <c r="F53" s="40">
        <f>SUM(C50:C53)</f>
        <v>241386.79564959108</v>
      </c>
      <c r="G53" s="37">
        <f>-SUM(D50:D53)</f>
        <v>393701.9732365438</v>
      </c>
    </row>
    <row r="54" spans="1:5" ht="13.5">
      <c r="A54" t="s">
        <v>7</v>
      </c>
      <c r="B54" s="37">
        <f t="shared" si="0"/>
        <v>-158772.1922215337</v>
      </c>
      <c r="C54" s="40">
        <f t="shared" si="4"/>
        <v>57251.79850896404</v>
      </c>
      <c r="D54" s="37">
        <f t="shared" si="5"/>
        <v>-101520.39371256967</v>
      </c>
      <c r="E54" s="40">
        <f t="shared" si="6"/>
        <v>4478623.487004553</v>
      </c>
    </row>
    <row r="55" spans="1:5" ht="13.5">
      <c r="A55" t="s">
        <v>8</v>
      </c>
      <c r="B55" s="37">
        <f t="shared" si="0"/>
        <v>-158772.1922215337</v>
      </c>
      <c r="C55" s="40">
        <f t="shared" si="4"/>
        <v>55982.79358755692</v>
      </c>
      <c r="D55" s="37">
        <f t="shared" si="5"/>
        <v>-102789.39863397679</v>
      </c>
      <c r="E55" s="40">
        <f t="shared" si="6"/>
        <v>4375834.0883705765</v>
      </c>
    </row>
    <row r="56" spans="1:5" ht="13.5">
      <c r="A56" t="s">
        <v>9</v>
      </c>
      <c r="B56" s="37">
        <f t="shared" si="0"/>
        <v>-158772.1922215337</v>
      </c>
      <c r="C56" s="40">
        <f t="shared" si="4"/>
        <v>54697.926104632206</v>
      </c>
      <c r="D56" s="37">
        <f t="shared" si="5"/>
        <v>-104074.2661169015</v>
      </c>
      <c r="E56" s="40">
        <f t="shared" si="6"/>
        <v>4271759.822253675</v>
      </c>
    </row>
    <row r="57" spans="1:7" ht="13.5">
      <c r="A57" t="s">
        <v>10</v>
      </c>
      <c r="B57" s="37">
        <f t="shared" si="0"/>
        <v>-158772.1922215337</v>
      </c>
      <c r="C57" s="40">
        <f t="shared" si="4"/>
        <v>53396.997778170946</v>
      </c>
      <c r="D57" s="37">
        <f t="shared" si="5"/>
        <v>-105375.19444336277</v>
      </c>
      <c r="E57" s="40">
        <f t="shared" si="6"/>
        <v>4166384.6278103124</v>
      </c>
      <c r="F57" s="40">
        <f>SUM(C54:C57)</f>
        <v>221329.51597932412</v>
      </c>
      <c r="G57" s="37">
        <f>-SUM(D54:D57)</f>
        <v>413759.2529068107</v>
      </c>
    </row>
    <row r="58" spans="1:5" ht="13.5">
      <c r="A58" t="s">
        <v>11</v>
      </c>
      <c r="B58" s="37">
        <f t="shared" si="0"/>
        <v>-158772.1922215337</v>
      </c>
      <c r="C58" s="40">
        <f t="shared" si="4"/>
        <v>52079.80784762891</v>
      </c>
      <c r="D58" s="37">
        <f t="shared" si="5"/>
        <v>-106692.3843739048</v>
      </c>
      <c r="E58" s="40">
        <f t="shared" si="6"/>
        <v>4059692.2434364078</v>
      </c>
    </row>
    <row r="59" spans="1:5" ht="13.5">
      <c r="A59" t="s">
        <v>12</v>
      </c>
      <c r="B59" s="37">
        <f t="shared" si="0"/>
        <v>-158772.1922215337</v>
      </c>
      <c r="C59" s="40">
        <f t="shared" si="4"/>
        <v>50746.1530429551</v>
      </c>
      <c r="D59" s="37">
        <f t="shared" si="5"/>
        <v>-108026.03917857862</v>
      </c>
      <c r="E59" s="40">
        <f t="shared" si="6"/>
        <v>3951666.204257829</v>
      </c>
    </row>
    <row r="60" spans="1:5" ht="13.5">
      <c r="A60" t="s">
        <v>13</v>
      </c>
      <c r="B60" s="37">
        <f t="shared" si="0"/>
        <v>-158772.1922215337</v>
      </c>
      <c r="C60" s="40">
        <f t="shared" si="4"/>
        <v>49395.827553222865</v>
      </c>
      <c r="D60" s="37">
        <f t="shared" si="5"/>
        <v>-109376.36466831085</v>
      </c>
      <c r="E60" s="40">
        <f t="shared" si="6"/>
        <v>3842289.8395895185</v>
      </c>
    </row>
    <row r="61" spans="1:7" ht="13.5">
      <c r="A61" t="s">
        <v>14</v>
      </c>
      <c r="B61" s="37">
        <f t="shared" si="0"/>
        <v>-158772.1922215337</v>
      </c>
      <c r="C61" s="40">
        <f t="shared" si="4"/>
        <v>48028.62299486899</v>
      </c>
      <c r="D61" s="37">
        <f t="shared" si="5"/>
        <v>-110743.56922666472</v>
      </c>
      <c r="E61" s="40">
        <f t="shared" si="6"/>
        <v>3731546.270362854</v>
      </c>
      <c r="F61" s="40">
        <f>SUM(C58:C61)</f>
        <v>200250.41143867586</v>
      </c>
      <c r="G61" s="37">
        <f>-SUM(D58:D61)</f>
        <v>434838.357447459</v>
      </c>
    </row>
    <row r="62" spans="1:5" ht="13.5">
      <c r="A62" t="s">
        <v>15</v>
      </c>
      <c r="B62" s="37">
        <f t="shared" si="0"/>
        <v>-158772.1922215337</v>
      </c>
      <c r="C62" s="40">
        <f t="shared" si="4"/>
        <v>46644.32837953568</v>
      </c>
      <c r="D62" s="37">
        <f t="shared" si="5"/>
        <v>-112127.86384199804</v>
      </c>
      <c r="E62" s="40">
        <f t="shared" si="6"/>
        <v>3619418.406520856</v>
      </c>
    </row>
    <row r="63" spans="1:5" ht="13.5">
      <c r="A63" t="s">
        <v>16</v>
      </c>
      <c r="B63" s="37">
        <f t="shared" si="0"/>
        <v>-158772.1922215337</v>
      </c>
      <c r="C63" s="40">
        <f t="shared" si="4"/>
        <v>45242.7300815107</v>
      </c>
      <c r="D63" s="37">
        <f t="shared" si="5"/>
        <v>-113529.46214002301</v>
      </c>
      <c r="E63" s="40">
        <f t="shared" si="6"/>
        <v>3505888.944380833</v>
      </c>
    </row>
    <row r="64" spans="1:5" ht="13.5">
      <c r="A64" t="s">
        <v>17</v>
      </c>
      <c r="B64" s="37">
        <f t="shared" si="0"/>
        <v>-158772.1922215337</v>
      </c>
      <c r="C64" s="40">
        <f t="shared" si="4"/>
        <v>43823.61180476041</v>
      </c>
      <c r="D64" s="37">
        <f t="shared" si="5"/>
        <v>-114948.5804167733</v>
      </c>
      <c r="E64" s="40">
        <f t="shared" si="6"/>
        <v>3390940.3639640594</v>
      </c>
    </row>
    <row r="65" spans="1:7" ht="13.5">
      <c r="A65" t="s">
        <v>18</v>
      </c>
      <c r="B65" s="37">
        <f t="shared" si="0"/>
        <v>-158772.1922215337</v>
      </c>
      <c r="C65" s="40">
        <f t="shared" si="4"/>
        <v>42386.754549550744</v>
      </c>
      <c r="D65" s="37">
        <f t="shared" si="5"/>
        <v>-116385.43767198297</v>
      </c>
      <c r="E65" s="40">
        <f t="shared" si="6"/>
        <v>3274554.9262920762</v>
      </c>
      <c r="F65" s="40">
        <f>SUM(C62:C65)</f>
        <v>178097.42481535752</v>
      </c>
      <c r="G65" s="37">
        <f>-SUM(D62:D65)</f>
        <v>456991.34407077736</v>
      </c>
    </row>
    <row r="66" spans="1:5" ht="13.5">
      <c r="A66" t="s">
        <v>19</v>
      </c>
      <c r="B66" s="37">
        <f t="shared" si="0"/>
        <v>-158772.1922215337</v>
      </c>
      <c r="C66" s="40">
        <f t="shared" si="4"/>
        <v>40931.93657865096</v>
      </c>
      <c r="D66" s="37">
        <f t="shared" si="5"/>
        <v>-117840.25564288275</v>
      </c>
      <c r="E66" s="40">
        <f t="shared" si="6"/>
        <v>3156714.6706491937</v>
      </c>
    </row>
    <row r="67" spans="1:5" ht="13.5">
      <c r="A67" t="s">
        <v>20</v>
      </c>
      <c r="B67" s="37">
        <f t="shared" si="0"/>
        <v>-158772.1922215337</v>
      </c>
      <c r="C67" s="40">
        <f t="shared" si="4"/>
        <v>39458.93338311493</v>
      </c>
      <c r="D67" s="37">
        <f t="shared" si="5"/>
        <v>-119313.25883841878</v>
      </c>
      <c r="E67" s="40">
        <f t="shared" si="6"/>
        <v>3037401.411810775</v>
      </c>
    </row>
    <row r="68" spans="1:5" ht="13.5">
      <c r="A68" t="s">
        <v>21</v>
      </c>
      <c r="B68" s="37">
        <f t="shared" si="0"/>
        <v>-158772.1922215337</v>
      </c>
      <c r="C68" s="40">
        <f t="shared" si="4"/>
        <v>37967.51764763469</v>
      </c>
      <c r="D68" s="37">
        <f t="shared" si="5"/>
        <v>-120804.67457389901</v>
      </c>
      <c r="E68" s="40">
        <f t="shared" si="6"/>
        <v>2916596.737236876</v>
      </c>
    </row>
    <row r="69" spans="1:7" ht="13.5">
      <c r="A69" t="s">
        <v>22</v>
      </c>
      <c r="B69" s="37">
        <f t="shared" si="0"/>
        <v>-158772.1922215337</v>
      </c>
      <c r="C69" s="40">
        <f t="shared" si="4"/>
        <v>36457.45921546095</v>
      </c>
      <c r="D69" s="37">
        <f t="shared" si="5"/>
        <v>-122314.73300607275</v>
      </c>
      <c r="E69" s="40">
        <f t="shared" si="6"/>
        <v>2794282.0042308033</v>
      </c>
      <c r="F69" s="40">
        <f>SUM(C66:C69)</f>
        <v>154815.84682486154</v>
      </c>
      <c r="G69" s="37">
        <f>-SUM(D66:D69)</f>
        <v>480272.9220612733</v>
      </c>
    </row>
    <row r="70" spans="1:5" ht="13.5">
      <c r="A70" t="s">
        <v>23</v>
      </c>
      <c r="B70" s="37">
        <f t="shared" si="0"/>
        <v>-158772.1922215337</v>
      </c>
      <c r="C70" s="40">
        <f t="shared" si="4"/>
        <v>34928.525052885045</v>
      </c>
      <c r="D70" s="37">
        <f t="shared" si="5"/>
        <v>-123843.66716864867</v>
      </c>
      <c r="E70" s="40">
        <f t="shared" si="6"/>
        <v>2670438.337062155</v>
      </c>
    </row>
    <row r="71" spans="1:5" ht="13.5">
      <c r="A71" t="s">
        <v>24</v>
      </c>
      <c r="B71" s="37">
        <f t="shared" si="0"/>
        <v>-158772.1922215337</v>
      </c>
      <c r="C71" s="40">
        <f t="shared" si="4"/>
        <v>33380.479213276936</v>
      </c>
      <c r="D71" s="37">
        <f t="shared" si="5"/>
        <v>-125391.71300825677</v>
      </c>
      <c r="E71" s="40">
        <f t="shared" si="6"/>
        <v>2545046.6240538983</v>
      </c>
    </row>
    <row r="72" spans="1:5" ht="13.5">
      <c r="A72" t="s">
        <v>25</v>
      </c>
      <c r="B72" s="37">
        <f t="shared" si="0"/>
        <v>-158772.1922215337</v>
      </c>
      <c r="C72" s="40">
        <f t="shared" si="4"/>
        <v>31813.08280067373</v>
      </c>
      <c r="D72" s="37">
        <f t="shared" si="5"/>
        <v>-126959.10942085998</v>
      </c>
      <c r="E72" s="40">
        <f t="shared" si="6"/>
        <v>2418087.514633038</v>
      </c>
    </row>
    <row r="73" spans="1:7" ht="13.5">
      <c r="A73" t="s">
        <v>26</v>
      </c>
      <c r="B73" s="37">
        <f t="shared" si="0"/>
        <v>-158772.1922215337</v>
      </c>
      <c r="C73" s="40">
        <f t="shared" si="4"/>
        <v>30226.093932912976</v>
      </c>
      <c r="D73" s="37">
        <f t="shared" si="5"/>
        <v>-128546.09828862073</v>
      </c>
      <c r="E73" s="40">
        <f t="shared" si="6"/>
        <v>2289541.4163444173</v>
      </c>
      <c r="F73" s="40">
        <f>SUM(C70:C73)</f>
        <v>130348.18099974869</v>
      </c>
      <c r="G73" s="37">
        <f>-SUM(D70:D73)</f>
        <v>504740.5878863861</v>
      </c>
    </row>
    <row r="74" spans="1:5" ht="13.5">
      <c r="A74" t="s">
        <v>27</v>
      </c>
      <c r="B74" s="37">
        <f t="shared" si="0"/>
        <v>-158772.1922215337</v>
      </c>
      <c r="C74" s="40">
        <f t="shared" si="4"/>
        <v>28619.267704305217</v>
      </c>
      <c r="D74" s="37">
        <f t="shared" si="5"/>
        <v>-130152.9245172285</v>
      </c>
      <c r="E74" s="40">
        <f t="shared" si="6"/>
        <v>2159388.491827189</v>
      </c>
    </row>
    <row r="75" spans="1:5" ht="13.5">
      <c r="A75" t="s">
        <v>28</v>
      </c>
      <c r="B75" s="37">
        <f aca="true" t="shared" si="7" ref="B75:B89">$B$5</f>
        <v>-158772.1922215337</v>
      </c>
      <c r="C75" s="40">
        <f t="shared" si="4"/>
        <v>26992.356147839862</v>
      </c>
      <c r="D75" s="37">
        <f t="shared" si="5"/>
        <v>-131779.83607369385</v>
      </c>
      <c r="E75" s="40">
        <f t="shared" si="6"/>
        <v>2027608.6557534952</v>
      </c>
    </row>
    <row r="76" spans="1:5" ht="13.5">
      <c r="A76" t="s">
        <v>29</v>
      </c>
      <c r="B76" s="37">
        <f t="shared" si="7"/>
        <v>-158772.1922215337</v>
      </c>
      <c r="C76" s="40">
        <f t="shared" si="4"/>
        <v>25345.108196918693</v>
      </c>
      <c r="D76" s="37">
        <f t="shared" si="5"/>
        <v>-133427.084024615</v>
      </c>
      <c r="E76" s="40">
        <f t="shared" si="6"/>
        <v>1894181.57172888</v>
      </c>
    </row>
    <row r="77" spans="1:7" ht="13.5">
      <c r="A77" t="s">
        <v>30</v>
      </c>
      <c r="B77" s="37">
        <f t="shared" si="7"/>
        <v>-158772.1922215337</v>
      </c>
      <c r="C77" s="40">
        <f t="shared" si="4"/>
        <v>23677.269646611003</v>
      </c>
      <c r="D77" s="37">
        <f t="shared" si="5"/>
        <v>-135094.9225749227</v>
      </c>
      <c r="E77" s="40">
        <f t="shared" si="6"/>
        <v>1759086.6491539574</v>
      </c>
      <c r="F77" s="40">
        <f>SUM(C74:C77)</f>
        <v>104634.00169567479</v>
      </c>
      <c r="G77" s="37">
        <f>-SUM(D74:D77)</f>
        <v>530454.76719046</v>
      </c>
    </row>
    <row r="78" spans="1:5" ht="13.5">
      <c r="A78" t="s">
        <v>31</v>
      </c>
      <c r="B78" s="37">
        <f t="shared" si="7"/>
        <v>-158772.1922215337</v>
      </c>
      <c r="C78" s="40">
        <f t="shared" si="4"/>
        <v>21988.58311442447</v>
      </c>
      <c r="D78" s="37">
        <f t="shared" si="5"/>
        <v>-136783.60910710925</v>
      </c>
      <c r="E78" s="40">
        <f t="shared" si="6"/>
        <v>1622303.0400468481</v>
      </c>
    </row>
    <row r="79" spans="1:5" ht="13.5">
      <c r="A79" t="s">
        <v>32</v>
      </c>
      <c r="B79" s="37">
        <f t="shared" si="7"/>
        <v>-158772.1922215337</v>
      </c>
      <c r="C79" s="40">
        <f t="shared" si="4"/>
        <v>20278.788000585602</v>
      </c>
      <c r="D79" s="37">
        <f t="shared" si="5"/>
        <v>-138493.4042209481</v>
      </c>
      <c r="E79" s="40">
        <f t="shared" si="6"/>
        <v>1483809.6358259</v>
      </c>
    </row>
    <row r="80" spans="1:5" ht="13.5">
      <c r="A80" t="s">
        <v>33</v>
      </c>
      <c r="B80" s="37">
        <f t="shared" si="7"/>
        <v>-158772.1922215337</v>
      </c>
      <c r="C80" s="40">
        <f t="shared" si="4"/>
        <v>18547.62044782375</v>
      </c>
      <c r="D80" s="37">
        <f t="shared" si="5"/>
        <v>-140224.57177370996</v>
      </c>
      <c r="E80" s="40">
        <f t="shared" si="6"/>
        <v>1343585.06405219</v>
      </c>
    </row>
    <row r="81" spans="1:7" ht="13.5">
      <c r="A81" t="s">
        <v>34</v>
      </c>
      <c r="B81" s="37">
        <f t="shared" si="7"/>
        <v>-158772.1922215337</v>
      </c>
      <c r="C81" s="40">
        <f t="shared" si="4"/>
        <v>16794.813300652375</v>
      </c>
      <c r="D81" s="37">
        <f t="shared" si="5"/>
        <v>-141977.37892088134</v>
      </c>
      <c r="E81" s="40">
        <f t="shared" si="6"/>
        <v>1201607.6851313086</v>
      </c>
      <c r="F81" s="40">
        <f>SUM(C78:C81)</f>
        <v>77609.80486348619</v>
      </c>
      <c r="G81" s="37">
        <f>-SUM(D78:D81)</f>
        <v>557478.9640226486</v>
      </c>
    </row>
    <row r="82" spans="1:5" ht="13.5">
      <c r="A82" t="s">
        <v>35</v>
      </c>
      <c r="B82" s="37">
        <f t="shared" si="7"/>
        <v>-158772.1922215337</v>
      </c>
      <c r="C82" s="40">
        <f t="shared" si="4"/>
        <v>15020.096064141359</v>
      </c>
      <c r="D82" s="37">
        <f t="shared" si="5"/>
        <v>-143752.09615739234</v>
      </c>
      <c r="E82" s="40">
        <f t="shared" si="6"/>
        <v>1057855.5889739164</v>
      </c>
    </row>
    <row r="83" spans="1:5" ht="13.5">
      <c r="A83" t="s">
        <v>36</v>
      </c>
      <c r="B83" s="37">
        <f t="shared" si="7"/>
        <v>-158772.1922215337</v>
      </c>
      <c r="C83" s="40">
        <f t="shared" si="4"/>
        <v>13223.194862173956</v>
      </c>
      <c r="D83" s="37">
        <f t="shared" si="5"/>
        <v>-145548.99735935975</v>
      </c>
      <c r="E83" s="40">
        <f t="shared" si="6"/>
        <v>912306.5916145566</v>
      </c>
    </row>
    <row r="84" spans="1:5" ht="13.5">
      <c r="A84" t="s">
        <v>37</v>
      </c>
      <c r="B84" s="37">
        <f t="shared" si="7"/>
        <v>-158772.1922215337</v>
      </c>
      <c r="C84" s="40">
        <f t="shared" si="4"/>
        <v>11403.832395181958</v>
      </c>
      <c r="D84" s="37">
        <f t="shared" si="5"/>
        <v>-147368.35982635175</v>
      </c>
      <c r="E84" s="40">
        <f t="shared" si="6"/>
        <v>764938.2317882049</v>
      </c>
    </row>
    <row r="85" spans="1:7" ht="13.5">
      <c r="A85" t="s">
        <v>38</v>
      </c>
      <c r="B85" s="37">
        <f t="shared" si="7"/>
        <v>-158772.1922215337</v>
      </c>
      <c r="C85" s="40">
        <f t="shared" si="4"/>
        <v>9561.72789735256</v>
      </c>
      <c r="D85" s="37">
        <f t="shared" si="5"/>
        <v>-149210.46432418114</v>
      </c>
      <c r="E85" s="40">
        <f t="shared" si="6"/>
        <v>615727.7674640238</v>
      </c>
      <c r="F85" s="40">
        <f>SUM(C82:C85)</f>
        <v>49208.851218849835</v>
      </c>
      <c r="G85" s="37">
        <f>-SUM(D82:D85)</f>
        <v>585879.9176672851</v>
      </c>
    </row>
    <row r="86" spans="1:5" ht="13.5">
      <c r="A86" t="s">
        <v>39</v>
      </c>
      <c r="B86" s="37">
        <f t="shared" si="7"/>
        <v>-158772.1922215337</v>
      </c>
      <c r="C86" s="40">
        <f t="shared" si="4"/>
        <v>7696.597093300297</v>
      </c>
      <c r="D86" s="37">
        <f t="shared" si="5"/>
        <v>-151075.59512823343</v>
      </c>
      <c r="E86" s="40">
        <f t="shared" si="6"/>
        <v>464652.17233579035</v>
      </c>
    </row>
    <row r="87" spans="1:5" ht="13.5">
      <c r="A87" t="s">
        <v>40</v>
      </c>
      <c r="B87" s="37">
        <f t="shared" si="7"/>
        <v>-158772.1922215337</v>
      </c>
      <c r="C87" s="40">
        <f t="shared" si="4"/>
        <v>5808.15215419738</v>
      </c>
      <c r="D87" s="37">
        <f t="shared" si="5"/>
        <v>-152964.04006733632</v>
      </c>
      <c r="E87" s="40">
        <f t="shared" si="6"/>
        <v>311688.13226845406</v>
      </c>
    </row>
    <row r="88" spans="1:5" ht="13.5">
      <c r="A88" t="s">
        <v>41</v>
      </c>
      <c r="B88" s="37">
        <f t="shared" si="7"/>
        <v>-158772.1922215337</v>
      </c>
      <c r="C88" s="40">
        <f t="shared" si="4"/>
        <v>3896.101653355676</v>
      </c>
      <c r="D88" s="37">
        <f t="shared" si="5"/>
        <v>-154876.09056817804</v>
      </c>
      <c r="E88" s="40">
        <f t="shared" si="6"/>
        <v>156812.04170027602</v>
      </c>
    </row>
    <row r="89" spans="1:7" ht="13.5">
      <c r="A89" t="s">
        <v>42</v>
      </c>
      <c r="B89" s="37">
        <f t="shared" si="7"/>
        <v>-158772.1922215337</v>
      </c>
      <c r="C89" s="40">
        <f t="shared" si="4"/>
        <v>1960.1505212534503</v>
      </c>
      <c r="D89" s="37">
        <f t="shared" si="5"/>
        <v>-156812.04170028027</v>
      </c>
      <c r="E89" s="40">
        <f t="shared" si="6"/>
        <v>-4.249159246683121E-09</v>
      </c>
      <c r="F89" s="40">
        <f>SUM(C86:C89)</f>
        <v>19361.0014221068</v>
      </c>
      <c r="G89" s="37">
        <f>-SUM(D86:D89)</f>
        <v>615727.767464028</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H16"/>
  <sheetViews>
    <sheetView zoomScale="125" zoomScaleNormal="125" workbookViewId="0" topLeftCell="A1">
      <selection activeCell="C13" sqref="C13"/>
    </sheetView>
  </sheetViews>
  <sheetFormatPr defaultColWidth="11.421875" defaultRowHeight="15"/>
  <cols>
    <col min="1" max="1" width="17.421875" style="0" bestFit="1" customWidth="1"/>
    <col min="2" max="2" width="13.140625" style="0" bestFit="1" customWidth="1"/>
    <col min="4" max="4" width="13.140625" style="0" bestFit="1" customWidth="1"/>
    <col min="5" max="8" width="11.7109375" style="0" bestFit="1" customWidth="1"/>
  </cols>
  <sheetData>
    <row r="2" spans="2:8" ht="13.5">
      <c r="B2" t="s">
        <v>48</v>
      </c>
      <c r="C2" t="s">
        <v>76</v>
      </c>
      <c r="D2" t="s">
        <v>77</v>
      </c>
      <c r="E2" t="s">
        <v>78</v>
      </c>
      <c r="F2" t="s">
        <v>79</v>
      </c>
      <c r="G2" t="s">
        <v>80</v>
      </c>
      <c r="H2" t="s">
        <v>81</v>
      </c>
    </row>
    <row r="3" spans="1:8" ht="13.5">
      <c r="A3" t="s">
        <v>43</v>
      </c>
      <c r="B3" s="34">
        <f>'Balance Sheet'!B13</f>
        <v>2200000</v>
      </c>
      <c r="C3" s="31">
        <f>'Balance Sheet'!B14</f>
        <v>660000</v>
      </c>
      <c r="D3" s="40">
        <f>$B$12</f>
        <v>314285.71428571426</v>
      </c>
      <c r="E3" s="40">
        <f>$B$12</f>
        <v>314285.71428571426</v>
      </c>
      <c r="F3" s="40">
        <f>$B$12</f>
        <v>314285.71428571426</v>
      </c>
      <c r="G3" s="40">
        <f>$B$12</f>
        <v>314285.71428571426</v>
      </c>
      <c r="H3" s="40">
        <f>$B$12</f>
        <v>314285.71428571426</v>
      </c>
    </row>
    <row r="4" spans="1:8" ht="13.5">
      <c r="A4" t="s">
        <v>44</v>
      </c>
      <c r="B4" s="43">
        <v>2500000</v>
      </c>
      <c r="D4" s="40">
        <f>$B$14</f>
        <v>500000</v>
      </c>
      <c r="E4" s="40">
        <f>$B$14</f>
        <v>500000</v>
      </c>
      <c r="F4" s="40">
        <f>$B$14</f>
        <v>500000</v>
      </c>
      <c r="G4" s="40">
        <f>$B$14</f>
        <v>500000</v>
      </c>
      <c r="H4" s="40">
        <f>$B$14</f>
        <v>500000</v>
      </c>
    </row>
    <row r="5" spans="1:8" ht="13.5">
      <c r="A5" t="s">
        <v>45</v>
      </c>
      <c r="B5" s="43">
        <v>2000000</v>
      </c>
      <c r="D5" s="40">
        <f>$B$16</f>
        <v>66666.66666666667</v>
      </c>
      <c r="E5" s="40">
        <f>$B$16</f>
        <v>66666.66666666667</v>
      </c>
      <c r="F5" s="40">
        <f>$B$16</f>
        <v>66666.66666666667</v>
      </c>
      <c r="G5" s="40">
        <f>$B$16</f>
        <v>66666.66666666667</v>
      </c>
      <c r="H5" s="40">
        <f>$B$16</f>
        <v>66666.66666666667</v>
      </c>
    </row>
    <row r="6" spans="1:2" ht="13.5">
      <c r="A6" t="s">
        <v>46</v>
      </c>
      <c r="B6" s="43">
        <v>3000000</v>
      </c>
    </row>
    <row r="7" spans="1:8" ht="13.5">
      <c r="A7" t="s">
        <v>47</v>
      </c>
      <c r="C7" s="31">
        <f>C3</f>
        <v>660000</v>
      </c>
      <c r="D7" s="40">
        <f>SUM(D3:D5)</f>
        <v>880952.380952381</v>
      </c>
      <c r="E7" s="40">
        <f>SUM(E3:E5)</f>
        <v>880952.380952381</v>
      </c>
      <c r="F7" s="40">
        <f>SUM(F3:F5)</f>
        <v>880952.380952381</v>
      </c>
      <c r="G7" s="40">
        <f>SUM(G3:G5)</f>
        <v>880952.380952381</v>
      </c>
      <c r="H7" s="40">
        <f>SUM(H3:H5)</f>
        <v>880952.380952381</v>
      </c>
    </row>
    <row r="11" spans="1:2" ht="13.5">
      <c r="A11" t="s">
        <v>49</v>
      </c>
      <c r="B11" t="s">
        <v>50</v>
      </c>
    </row>
    <row r="12" spans="1:2" ht="13.5">
      <c r="A12" s="34">
        <v>2200000</v>
      </c>
      <c r="B12" s="42">
        <f>A12/7</f>
        <v>314285.71428571426</v>
      </c>
    </row>
    <row r="13" ht="13.5">
      <c r="A13" t="s">
        <v>44</v>
      </c>
    </row>
    <row r="14" spans="1:2" ht="13.5">
      <c r="A14" s="40">
        <f>B4</f>
        <v>2500000</v>
      </c>
      <c r="B14" s="42">
        <f>A14/5</f>
        <v>500000</v>
      </c>
    </row>
    <row r="15" ht="13.5">
      <c r="A15" t="s">
        <v>45</v>
      </c>
    </row>
    <row r="16" spans="1:2" ht="13.5">
      <c r="A16" s="40">
        <f>B5</f>
        <v>2000000</v>
      </c>
      <c r="B16" s="42">
        <f>A16/30</f>
        <v>66666.66666666667</v>
      </c>
    </row>
  </sheetData>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3:K24"/>
  <sheetViews>
    <sheetView zoomScale="125" zoomScaleNormal="125" workbookViewId="0" topLeftCell="A1">
      <selection activeCell="E17" sqref="E17"/>
    </sheetView>
  </sheetViews>
  <sheetFormatPr defaultColWidth="11.421875" defaultRowHeight="15"/>
  <cols>
    <col min="1" max="1" width="20.28125" style="0" customWidth="1"/>
    <col min="2" max="2" width="14.00390625" style="0" bestFit="1" customWidth="1"/>
    <col min="4" max="4" width="13.140625" style="0" bestFit="1" customWidth="1"/>
    <col min="6" max="6" width="14.00390625" style="0" bestFit="1" customWidth="1"/>
    <col min="8" max="8" width="14.00390625" style="0" bestFit="1" customWidth="1"/>
    <col min="10" max="10" width="14.00390625" style="0" bestFit="1" customWidth="1"/>
  </cols>
  <sheetData>
    <row r="3" spans="1:11" ht="13.5">
      <c r="A3" s="59" t="s">
        <v>63</v>
      </c>
      <c r="C3" t="s">
        <v>77</v>
      </c>
      <c r="E3" t="s">
        <v>78</v>
      </c>
      <c r="G3" t="s">
        <v>79</v>
      </c>
      <c r="I3" t="s">
        <v>80</v>
      </c>
      <c r="K3" t="s">
        <v>81</v>
      </c>
    </row>
    <row r="4" spans="1:11" ht="13.5">
      <c r="A4" s="13" t="s">
        <v>197</v>
      </c>
      <c r="B4">
        <f>IF(B13&gt;$B$17,$B$17,B13)</f>
        <v>50000</v>
      </c>
      <c r="C4">
        <f>B4*C17</f>
        <v>7500</v>
      </c>
      <c r="D4">
        <f>IF(D13&gt;$B$17,$B$17,D13)</f>
        <v>50000</v>
      </c>
      <c r="E4">
        <f>D4*C17</f>
        <v>7500</v>
      </c>
      <c r="F4">
        <f>IF(F13&gt;$B$17,$B$17,F13)</f>
        <v>50000</v>
      </c>
      <c r="G4">
        <f>F4*C17</f>
        <v>7500</v>
      </c>
      <c r="H4">
        <f>IF(H13&gt;$B$17,$B$17,H13)</f>
        <v>50000</v>
      </c>
      <c r="I4">
        <f>H4*C17</f>
        <v>7500</v>
      </c>
      <c r="J4">
        <f>IF(J13&gt;$B$17,$B$17,J13)</f>
        <v>50000</v>
      </c>
      <c r="K4">
        <f>J4*C17</f>
        <v>7500</v>
      </c>
    </row>
    <row r="5" spans="1:11" ht="13.5">
      <c r="A5" s="13" t="s">
        <v>198</v>
      </c>
      <c r="B5">
        <f>IF(B13&gt;$B$18,$B$18-$A$18,B13-$B$18)</f>
        <v>25000</v>
      </c>
      <c r="C5">
        <f aca="true" t="shared" si="0" ref="C5:C11">B5*C18</f>
        <v>6250</v>
      </c>
      <c r="D5">
        <f>IF(D13&gt;$B$18,$B$18-$A$18,D13-$B$18)</f>
        <v>25000</v>
      </c>
      <c r="E5">
        <f aca="true" t="shared" si="1" ref="E5:E11">D5*C18</f>
        <v>6250</v>
      </c>
      <c r="F5">
        <f>IF(F13&gt;$B$18,$B$18-$A$18,F13-$B$18)</f>
        <v>25000</v>
      </c>
      <c r="G5">
        <f aca="true" t="shared" si="2" ref="G5:G11">F5*C18</f>
        <v>6250</v>
      </c>
      <c r="H5">
        <f>IF(H13&gt;$B$18,$B$18-$A$18,H13-$B$18)</f>
        <v>25000</v>
      </c>
      <c r="I5">
        <f aca="true" t="shared" si="3" ref="I5:I11">H5*C18</f>
        <v>6250</v>
      </c>
      <c r="J5">
        <f>IF(J13&gt;$B$18,$B$18-$A$18,J13-$B$18)</f>
        <v>25000</v>
      </c>
      <c r="K5">
        <f aca="true" t="shared" si="4" ref="K5:K11">J5*C18</f>
        <v>6250</v>
      </c>
    </row>
    <row r="6" spans="1:11" ht="13.5">
      <c r="A6" s="13" t="s">
        <v>200</v>
      </c>
      <c r="B6" s="62">
        <f>IF(B13&gt;$B$19,$B$19-$A$19,B13-$A$19)</f>
        <v>25000</v>
      </c>
      <c r="C6">
        <f t="shared" si="0"/>
        <v>8500</v>
      </c>
      <c r="D6" s="62">
        <f>IF(D13&gt;$B$19,$B$19-$A$19,D13-$A$19)</f>
        <v>25000</v>
      </c>
      <c r="E6">
        <f t="shared" si="1"/>
        <v>8500</v>
      </c>
      <c r="F6" s="62">
        <f>IF(F13&gt;$B$19,$B$19-$A$19,F13-$A$19)</f>
        <v>25000</v>
      </c>
      <c r="G6">
        <f t="shared" si="2"/>
        <v>8500</v>
      </c>
      <c r="H6" s="62">
        <f>IF(H13&gt;$B$19,$B$19-$A$19,H13-$A$19)</f>
        <v>25000</v>
      </c>
      <c r="I6">
        <f t="shared" si="3"/>
        <v>8500</v>
      </c>
      <c r="J6" s="62">
        <f>IF(J13&gt;$B$19,$B$19-$A$19,J13-$A$19)</f>
        <v>25000</v>
      </c>
      <c r="K6">
        <f t="shared" si="4"/>
        <v>8500</v>
      </c>
    </row>
    <row r="7" spans="1:11" ht="13.5">
      <c r="A7" s="13" t="s">
        <v>202</v>
      </c>
      <c r="B7">
        <f>IF(B13&gt;$B$20,$B$20-$A$20,B13-SUM(B4:B6))</f>
        <v>235000</v>
      </c>
      <c r="C7">
        <f t="shared" si="0"/>
        <v>91650</v>
      </c>
      <c r="D7">
        <f>IF(D13&gt;$B$20,$B$20-$A$20,D13-SUM(D4:D6))</f>
        <v>235000</v>
      </c>
      <c r="E7">
        <f t="shared" si="1"/>
        <v>91650</v>
      </c>
      <c r="F7">
        <f>IF(F13&gt;$B$20,$B$20-$A$20,F13-SUM(F4:F6))</f>
        <v>235000</v>
      </c>
      <c r="G7">
        <f t="shared" si="2"/>
        <v>91650</v>
      </c>
      <c r="H7">
        <f>IF(H13&gt;$B$20,$B$20-$A$20,H13-SUM(H4:H6))</f>
        <v>235000</v>
      </c>
      <c r="I7">
        <f t="shared" si="3"/>
        <v>91650</v>
      </c>
      <c r="J7">
        <f>IF(J13&gt;$B$20,$B$20-$A$20,J13-SUM(J4:J6))</f>
        <v>235000</v>
      </c>
      <c r="K7">
        <f t="shared" si="4"/>
        <v>91650</v>
      </c>
    </row>
    <row r="8" spans="1:11" ht="13.5">
      <c r="A8" s="13" t="s">
        <v>204</v>
      </c>
      <c r="B8">
        <f>IF(B13&gt;$B$21,$B$21-$A$21,B13-SUM(B4:B7))</f>
        <v>2200876.236041308</v>
      </c>
      <c r="C8">
        <f t="shared" si="0"/>
        <v>748297.9202540447</v>
      </c>
      <c r="D8">
        <f>IF(D13&gt;$B$21,$B$21-$A$21,D13-SUM(D4:D7))</f>
        <v>6313016.086975272</v>
      </c>
      <c r="E8">
        <f t="shared" si="1"/>
        <v>2146425.4695715928</v>
      </c>
      <c r="F8">
        <f>IF(F13&gt;$B$21,$B$21-$A$21,F13-SUM(F4:F7))</f>
        <v>9665000</v>
      </c>
      <c r="G8">
        <f t="shared" si="2"/>
        <v>3286100.0000000005</v>
      </c>
      <c r="H8">
        <f>IF(H13&gt;$B$21,$B$21-$A$21,H13-SUM(H4:H7))</f>
        <v>9665000</v>
      </c>
      <c r="I8">
        <f t="shared" si="3"/>
        <v>3286100.0000000005</v>
      </c>
      <c r="J8">
        <f>IF(J13&gt;$B$21,$B$21-$A$21,J13-SUM(J4:J7))</f>
        <v>9665000</v>
      </c>
      <c r="K8">
        <f t="shared" si="4"/>
        <v>3286100.0000000005</v>
      </c>
    </row>
    <row r="9" spans="1:11" ht="13.5">
      <c r="A9" s="13" t="s">
        <v>206</v>
      </c>
      <c r="B9">
        <f>IF(B13&gt;$B$22,$B$22-$A$22,B13-SUM(B4:B8))</f>
        <v>0</v>
      </c>
      <c r="C9">
        <f t="shared" si="0"/>
        <v>0</v>
      </c>
      <c r="D9">
        <f>IF(D13&gt;$B$22,$B$22-$A$22,D13-SUM(D4:D8))</f>
        <v>0</v>
      </c>
      <c r="E9">
        <f t="shared" si="1"/>
        <v>0</v>
      </c>
      <c r="F9">
        <f>IF(F13&gt;$B$22,$B$22-$A$22,F13-SUM(F4:F8))</f>
        <v>4365804.9849974215</v>
      </c>
      <c r="G9">
        <f t="shared" si="2"/>
        <v>1528031.7447490974</v>
      </c>
      <c r="H9">
        <f>IF(H13&gt;$B$22,$B$22-$A$22,H13-SUM(H4:H8))</f>
        <v>5000000</v>
      </c>
      <c r="I9">
        <f t="shared" si="3"/>
        <v>1750000</v>
      </c>
      <c r="J9">
        <f>IF(J13&gt;$B$22,$B$22-$A$22,J13-SUM(J4:J8))</f>
        <v>5000000</v>
      </c>
      <c r="K9">
        <f t="shared" si="4"/>
        <v>1750000</v>
      </c>
    </row>
    <row r="10" spans="1:11" ht="13.5">
      <c r="A10" s="13" t="s">
        <v>208</v>
      </c>
      <c r="B10">
        <f>IF(B13&gt;$B$23,$B$23-$A$23,B13-SUM(B4:B9))</f>
        <v>0</v>
      </c>
      <c r="C10">
        <f t="shared" si="0"/>
        <v>0</v>
      </c>
      <c r="D10">
        <f>IF(D13&gt;$B$23,$B$23-$A$23,D13-SUM(D4:D9))</f>
        <v>0</v>
      </c>
      <c r="E10">
        <f t="shared" si="1"/>
        <v>0</v>
      </c>
      <c r="F10">
        <f>IF(F13&gt;$B$23,$B$23-$A$23,F13-SUM(F4:F9))</f>
        <v>0</v>
      </c>
      <c r="G10">
        <f t="shared" si="2"/>
        <v>0</v>
      </c>
      <c r="H10">
        <f>IF(H13&gt;$B$23,$B$23-$A$23,H13-SUM(H4:H9))</f>
        <v>3333333</v>
      </c>
      <c r="I10">
        <f t="shared" si="3"/>
        <v>1266666.54</v>
      </c>
      <c r="J10">
        <f>IF(J13&gt;$B$23,$B$23-$A$23,J13-SUM(J4:J9))</f>
        <v>3333333</v>
      </c>
      <c r="K10">
        <f t="shared" si="4"/>
        <v>1266666.54</v>
      </c>
    </row>
    <row r="11" spans="1:11" ht="13.5">
      <c r="A11" s="13" t="s">
        <v>210</v>
      </c>
      <c r="B11">
        <f>IF(B13&gt;$B$24,$B$24-$A$24,B13-SUM(B4:B10))</f>
        <v>0</v>
      </c>
      <c r="C11">
        <f t="shared" si="0"/>
        <v>0</v>
      </c>
      <c r="D11">
        <f>IF(D13&gt;$B$24,$B$24-$A$24,D13-SUM(D4:D10))</f>
        <v>0</v>
      </c>
      <c r="E11">
        <f t="shared" si="1"/>
        <v>0</v>
      </c>
      <c r="F11">
        <f>IF(F13&gt;$B$24,$B$24-$A$24,F13-SUM(F4:F10))</f>
        <v>0</v>
      </c>
      <c r="G11">
        <f t="shared" si="2"/>
        <v>0</v>
      </c>
      <c r="H11">
        <f>IF(H13&gt;$B$24,$B$24-$A$24,H13-SUM(H4:H10))</f>
        <v>10374962.415737454</v>
      </c>
      <c r="I11">
        <f t="shared" si="3"/>
        <v>3631236.845508109</v>
      </c>
      <c r="J11">
        <f>IF(J13&gt;$B$24,$B$24-$A$24,J13-SUM(J4:J10))</f>
        <v>36823122.975357346</v>
      </c>
      <c r="K11">
        <f t="shared" si="4"/>
        <v>12888093.04137507</v>
      </c>
    </row>
    <row r="12" spans="1:11" ht="13.5">
      <c r="A12" s="61" t="s">
        <v>68</v>
      </c>
      <c r="B12" s="63"/>
      <c r="C12" s="64">
        <f>SUM(C4:C11)</f>
        <v>862197.9202540447</v>
      </c>
      <c r="D12" s="64"/>
      <c r="E12" s="64">
        <f>SUM(E4:E11)</f>
        <v>2260325.4695715928</v>
      </c>
      <c r="F12" s="64"/>
      <c r="G12" s="64">
        <f>SUM(G4:G11)</f>
        <v>4928031.744749098</v>
      </c>
      <c r="H12" s="64"/>
      <c r="I12" s="64">
        <f>SUM(I4:I11)</f>
        <v>10047903.385508109</v>
      </c>
      <c r="J12" s="64"/>
      <c r="K12" s="64">
        <f>SUM(K4:K11)</f>
        <v>19304759.58137507</v>
      </c>
    </row>
    <row r="13" spans="1:11" ht="13.5">
      <c r="A13" s="61" t="s">
        <v>69</v>
      </c>
      <c r="B13" s="65">
        <f>'Income Statement'!C13</f>
        <v>2535876.236041308</v>
      </c>
      <c r="C13" s="66"/>
      <c r="D13" s="67">
        <f>'Income Statement'!D13</f>
        <v>6648016.086975272</v>
      </c>
      <c r="E13" s="66"/>
      <c r="F13" s="67">
        <f>'Income Statement'!E13</f>
        <v>14365804.984997422</v>
      </c>
      <c r="G13" s="66"/>
      <c r="H13" s="67">
        <f>'Income Statement'!F13</f>
        <v>28708295.415737454</v>
      </c>
      <c r="I13" s="66"/>
      <c r="J13" s="67">
        <f>'Income Statement'!G13</f>
        <v>55156455.975357346</v>
      </c>
      <c r="K13" s="66"/>
    </row>
    <row r="16" spans="1:3" ht="13.5">
      <c r="A16" t="s">
        <v>64</v>
      </c>
      <c r="B16" t="s">
        <v>65</v>
      </c>
      <c r="C16" t="s">
        <v>67</v>
      </c>
    </row>
    <row r="17" spans="1:3" ht="13.5">
      <c r="A17">
        <v>0</v>
      </c>
      <c r="B17" s="36">
        <v>50000</v>
      </c>
      <c r="C17" s="30">
        <v>0.15</v>
      </c>
    </row>
    <row r="18" spans="1:3" ht="13.5">
      <c r="A18" s="36">
        <v>50000</v>
      </c>
      <c r="B18" s="36">
        <v>75000</v>
      </c>
      <c r="C18" s="30">
        <v>0.25</v>
      </c>
    </row>
    <row r="19" spans="1:3" ht="13.5">
      <c r="A19" s="36">
        <v>75000</v>
      </c>
      <c r="B19" s="36">
        <v>100000</v>
      </c>
      <c r="C19" s="30">
        <v>0.34</v>
      </c>
    </row>
    <row r="20" spans="1:3" ht="13.5">
      <c r="A20" s="36">
        <v>100000</v>
      </c>
      <c r="B20" s="36">
        <v>335000</v>
      </c>
      <c r="C20" s="30">
        <v>0.39</v>
      </c>
    </row>
    <row r="21" spans="1:3" ht="13.5">
      <c r="A21" s="36">
        <v>335000</v>
      </c>
      <c r="B21" s="36">
        <v>10000000</v>
      </c>
      <c r="C21" s="30">
        <v>0.34</v>
      </c>
    </row>
    <row r="22" spans="1:3" ht="13.5">
      <c r="A22" s="36">
        <v>10000000</v>
      </c>
      <c r="B22" s="36">
        <v>15000000</v>
      </c>
      <c r="C22" s="30">
        <v>0.35</v>
      </c>
    </row>
    <row r="23" spans="1:3" ht="13.5">
      <c r="A23" s="36">
        <v>15000000</v>
      </c>
      <c r="B23" s="36">
        <v>18333333</v>
      </c>
      <c r="C23" s="30">
        <v>0.38</v>
      </c>
    </row>
    <row r="24" spans="1:3" ht="13.5">
      <c r="A24" s="36">
        <v>18333333</v>
      </c>
      <c r="B24" s="60" t="s">
        <v>66</v>
      </c>
      <c r="C24" s="30">
        <v>0.35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muhammed almashooq</cp:lastModifiedBy>
  <cp:lastPrinted>2012-01-27T17:22:26Z</cp:lastPrinted>
  <dcterms:created xsi:type="dcterms:W3CDTF">2011-08-30T13:12:20Z</dcterms:created>
  <dcterms:modified xsi:type="dcterms:W3CDTF">2012-04-01T20:03:07Z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