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-465" windowWidth="19440" windowHeight="12240"/>
  </bookViews>
  <sheets>
    <sheet name="CASE19" sheetId="1" r:id="rId1"/>
    <sheet name="Sheet1" sheetId="2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<sst xmlns="http://schemas.openxmlformats.org/spreadsheetml/2006/main" count="163" uniqueCount="82">
  <si>
    <t>INPUT DATA:</t>
  </si>
  <si>
    <t>Land opportunity cost</t>
  </si>
  <si>
    <t>Building/equipment cost</t>
  </si>
  <si>
    <t>Procedures per day</t>
  </si>
  <si>
    <t>Labor costs</t>
  </si>
  <si>
    <t>Utilities costs</t>
  </si>
  <si>
    <t>Incremental overhead</t>
  </si>
  <si>
    <t>Supply cost ($/procedure)</t>
  </si>
  <si>
    <t>Inflation rate on costs</t>
  </si>
  <si>
    <t>Tax rate</t>
  </si>
  <si>
    <t>Cost of capital</t>
  </si>
  <si>
    <t>MODEL-GENERATED DATA:</t>
  </si>
  <si>
    <t xml:space="preserve">  Depreciation Schedule:</t>
  </si>
  <si>
    <t>MACRS</t>
  </si>
  <si>
    <t>Deprec.</t>
  </si>
  <si>
    <t>End of Year</t>
  </si>
  <si>
    <t>Year</t>
  </si>
  <si>
    <t>Factor</t>
  </si>
  <si>
    <t>Expense</t>
  </si>
  <si>
    <t>Book value</t>
  </si>
  <si>
    <t xml:space="preserve">  Net Cash Flows:</t>
  </si>
  <si>
    <t>Project Cash Flows</t>
  </si>
  <si>
    <t>0</t>
  </si>
  <si>
    <t>1</t>
  </si>
  <si>
    <t>2</t>
  </si>
  <si>
    <t>3</t>
  </si>
  <si>
    <t>4</t>
  </si>
  <si>
    <t>5</t>
  </si>
  <si>
    <t>Less: Labor costs</t>
  </si>
  <si>
    <t xml:space="preserve">  Income before taxes</t>
  </si>
  <si>
    <t>Taxes</t>
  </si>
  <si>
    <t xml:space="preserve">  Project net income</t>
  </si>
  <si>
    <t>Plus: Depreciation</t>
  </si>
  <si>
    <t>Net cash flow</t>
  </si>
  <si>
    <t>Cumulative net cash flow</t>
  </si>
  <si>
    <t>(For payback calculation)</t>
  </si>
  <si>
    <t xml:space="preserve">  Profitability and Breakeven Measures:</t>
  </si>
  <si>
    <t>Net present value (NPV)</t>
  </si>
  <si>
    <t>Internal rate of return (IRR)</t>
  </si>
  <si>
    <t>Modified IRR (MIRR)</t>
  </si>
  <si>
    <t>Payback</t>
  </si>
  <si>
    <t>END</t>
  </si>
  <si>
    <t>When this is done, any error cells will be corrected and the base case solution will appear.</t>
  </si>
  <si>
    <t>Land initial cost</t>
  </si>
  <si>
    <t>Plus: Net land salvage value</t>
  </si>
  <si>
    <t>Land opportunity cost (and salvage value)</t>
  </si>
  <si>
    <t>Build/equipment salvage value</t>
  </si>
  <si>
    <t xml:space="preserve">         Utilities costs</t>
  </si>
  <si>
    <t xml:space="preserve">         Supplies</t>
  </si>
  <si>
    <t xml:space="preserve">         Incremental overhead</t>
  </si>
  <si>
    <t xml:space="preserve">         Depreciation</t>
  </si>
  <si>
    <t>Plus: Net building/equipment salvage value</t>
  </si>
  <si>
    <t>Note that the student version does not contain any risk analyses, so students will have to</t>
  </si>
  <si>
    <t>graphics (charts) as needed to present their results.</t>
  </si>
  <si>
    <t xml:space="preserve">         Payback</t>
  </si>
  <si>
    <t xml:space="preserve">         MIRR</t>
  </si>
  <si>
    <t xml:space="preserve">         IRR</t>
  </si>
  <si>
    <t xml:space="preserve">         NPV</t>
  </si>
  <si>
    <t xml:space="preserve">         KEY OUTPUT:</t>
  </si>
  <si>
    <t>Reduction in inpatient surgery costs</t>
  </si>
  <si>
    <t>Revenues lost from inpatient surgeries</t>
  </si>
  <si>
    <t xml:space="preserve">         Cost savings on inpatients</t>
  </si>
  <si>
    <t xml:space="preserve">   Traditional Project Analysis</t>
  </si>
  <si>
    <t xml:space="preserve">            Student Version</t>
  </si>
  <si>
    <t xml:space="preserve">          CORAL BAY HOSPITAL</t>
  </si>
  <si>
    <t>Average net patient revenue per procedure</t>
  </si>
  <si>
    <t>Inflation rate on net patient revenue</t>
  </si>
  <si>
    <t>Net patient revenue (including inpatient loss)</t>
  </si>
  <si>
    <t>This case illustrates a complete capital budgeting analysis, including cash flow analysis</t>
  </si>
  <si>
    <t>CASE 20</t>
  </si>
  <si>
    <t>Copyright 2014 Health Administration Press</t>
  </si>
  <si>
    <t>The model consists of a complete base case analysis—no changes need to be made</t>
  </si>
  <si>
    <t>to the existing MODEL-GENERATED DATA section. However, all values in the student</t>
  </si>
  <si>
    <t>version INPUT DATA section have been replaced with zeros. Thus, students must determine</t>
  </si>
  <si>
    <r>
      <t>the appropriate input values and enter them into the model. These cells are colored</t>
    </r>
    <r>
      <rPr>
        <b/>
        <sz val="12"/>
        <color indexed="10"/>
        <rFont val="Arial"/>
        <family val="2"/>
      </rPr>
      <t xml:space="preserve"> red</t>
    </r>
    <r>
      <rPr>
        <sz val="12"/>
        <rFont val="Arial"/>
        <family val="2"/>
      </rPr>
      <t>.</t>
    </r>
  </si>
  <si>
    <r>
      <t>create their own</t>
    </r>
    <r>
      <rPr>
        <b/>
        <sz val="12"/>
        <rFont val="Arial"/>
        <family val="2"/>
      </rPr>
      <t xml:space="preserve"> if required by the case</t>
    </r>
    <r>
      <rPr>
        <sz val="12"/>
        <rFont val="Arial"/>
        <family val="2"/>
      </rPr>
      <t>. Furthermore, students must create their own</t>
    </r>
  </si>
  <si>
    <t>and profitability measures. Note the model extends to Column I.</t>
  </si>
  <si>
    <t>Years to getting profit break even</t>
  </si>
  <si>
    <t>compare to cost of capital</t>
  </si>
  <si>
    <t>tray 6% for different scenario analysis</t>
  </si>
  <si>
    <t>tray 14%  and 4%for different scenario analysis</t>
  </si>
  <si>
    <t>can be tried with 25,and 15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</si>
</sst>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0.0%"/>
    <numFmt numFmtId="165" formatCode="mm/dd/yy"/>
    <numFmt numFmtId="166" formatCode="0.0"/>
    <numFmt numFmtId="167" formatCode="0_);\(0\)"/>
    <numFmt numFmtId="168" formatCode="&quot;$&quot;#,##0"/>
  </numFmts>
  <fonts count="10">
    <font>
      <sz val="12"/>
      <name val="Arial"/>
    </font>
    <font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2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14"/>
      </bottom>
      <diagonal/>
    </border>
  </borders>
  <cellStyleXfs count="5">
    <xf numFmtId="0" fontId="0" fillId="2" borderId="0"/>
    <xf numFmtId="0" fontId="7" fillId="2" borderId="0" applyNumberFormat="0" applyFill="0" applyBorder="0" applyAlignment="0" applyProtection="0"/>
    <xf numFmtId="0" fontId="8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8" fillId="2" borderId="0" applyNumberFormat="0" applyFill="0" applyBorder="0" applyAlignment="0" applyProtection="0"/>
  </cellStyleXfs>
  <cellXfs count="34">
    <xf numFmtId="0" fontId="0" fillId="2" borderId="0" xfId="0" applyNumberFormat="1"/>
    <xf numFmtId="37" fontId="0" fillId="2" borderId="0" xfId="0" applyNumberFormat="1" applyProtection="1">
      <protection locked="0"/>
    </xf>
    <xf numFmtId="0" fontId="0" fillId="2" borderId="0" xfId="0" applyNumberFormat="1" applyProtection="1">
      <protection locked="0"/>
    </xf>
    <xf numFmtId="166" fontId="0" fillId="2" borderId="0" xfId="0" applyNumberFormat="1"/>
    <xf numFmtId="2" fontId="0" fillId="2" borderId="0" xfId="0" applyNumberFormat="1"/>
    <xf numFmtId="164" fontId="0" fillId="2" borderId="0" xfId="0" applyNumberFormat="1"/>
    <xf numFmtId="10" fontId="0" fillId="2" borderId="0" xfId="0" applyNumberFormat="1"/>
    <xf numFmtId="37" fontId="0" fillId="2" borderId="0" xfId="0" applyNumberFormat="1"/>
    <xf numFmtId="5" fontId="0" fillId="2" borderId="0" xfId="0" applyNumberFormat="1" applyProtection="1">
      <protection locked="0"/>
    </xf>
    <xf numFmtId="5" fontId="0" fillId="2" borderId="0" xfId="0" applyNumberFormat="1"/>
    <xf numFmtId="0" fontId="0" fillId="2" borderId="1" xfId="0" applyNumberFormat="1" applyBorder="1" applyProtection="1">
      <protection locked="0"/>
    </xf>
    <xf numFmtId="37" fontId="0" fillId="2" borderId="1" xfId="0" applyNumberFormat="1" applyBorder="1"/>
    <xf numFmtId="0" fontId="0" fillId="2" borderId="1" xfId="0" applyNumberFormat="1" applyBorder="1"/>
    <xf numFmtId="5" fontId="0" fillId="2" borderId="2" xfId="0" applyNumberFormat="1" applyBorder="1"/>
    <xf numFmtId="0" fontId="0" fillId="2" borderId="0" xfId="0" applyNumberFormat="1" applyAlignment="1">
      <alignment horizontal="right"/>
    </xf>
    <xf numFmtId="0" fontId="0" fillId="2" borderId="1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" xfId="0" applyNumberFormat="1" applyBorder="1" applyAlignment="1">
      <alignment horizontal="center"/>
    </xf>
    <xf numFmtId="0" fontId="1" fillId="2" borderId="0" xfId="0" applyNumberFormat="1" applyFont="1" applyProtection="1">
      <protection locked="0"/>
    </xf>
    <xf numFmtId="0" fontId="1" fillId="2" borderId="0" xfId="0" applyNumberFormat="1" applyFont="1"/>
    <xf numFmtId="0" fontId="0" fillId="2" borderId="0" xfId="0" quotePrefix="1" applyNumberFormat="1" applyAlignment="1">
      <alignment horizontal="left"/>
    </xf>
    <xf numFmtId="0" fontId="1" fillId="2" borderId="0" xfId="0" applyNumberFormat="1" applyFont="1" applyAlignment="1" applyProtection="1">
      <alignment horizontal="right"/>
      <protection locked="0"/>
    </xf>
    <xf numFmtId="0" fontId="2" fillId="2" borderId="0" xfId="0" applyNumberFormat="1" applyFont="1" applyProtection="1">
      <protection locked="0"/>
    </xf>
    <xf numFmtId="5" fontId="3" fillId="2" borderId="0" xfId="0" applyNumberFormat="1" applyFont="1" applyProtection="1">
      <protection locked="0"/>
    </xf>
    <xf numFmtId="164" fontId="3" fillId="2" borderId="0" xfId="0" applyNumberFormat="1" applyFont="1" applyProtection="1">
      <protection locked="0"/>
    </xf>
    <xf numFmtId="0" fontId="4" fillId="2" borderId="0" xfId="0" applyNumberFormat="1" applyFont="1" applyProtection="1">
      <protection locked="0"/>
    </xf>
    <xf numFmtId="0" fontId="0" fillId="2" borderId="3" xfId="0" applyNumberFormat="1" applyBorder="1"/>
    <xf numFmtId="37" fontId="0" fillId="2" borderId="3" xfId="0" applyNumberFormat="1" applyBorder="1"/>
    <xf numFmtId="5" fontId="3" fillId="2" borderId="0" xfId="0" applyNumberFormat="1" applyFont="1"/>
    <xf numFmtId="167" fontId="3" fillId="2" borderId="0" xfId="0" applyNumberFormat="1" applyFont="1" applyProtection="1">
      <protection locked="0"/>
    </xf>
    <xf numFmtId="0" fontId="0" fillId="2" borderId="0" xfId="0" applyNumberFormat="1" applyBorder="1"/>
    <xf numFmtId="168" fontId="3" fillId="2" borderId="0" xfId="0" applyNumberFormat="1" applyFont="1" applyProtection="1">
      <protection locked="0"/>
    </xf>
    <xf numFmtId="14" fontId="1" fillId="2" borderId="0" xfId="0" quotePrefix="1" applyNumberFormat="1" applyFont="1" applyAlignment="1" applyProtection="1">
      <alignment horizontal="left"/>
      <protection locked="0"/>
    </xf>
    <xf numFmtId="165" fontId="1" fillId="2" borderId="0" xfId="0" applyNumberFormat="1" applyFont="1" applyAlignment="1" applyProtection="1">
      <alignment horizont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showOutlineSymbols="0" zoomScale="87" workbookViewId="0">
      <selection activeCell="I1" sqref="I1"/>
    </sheetView>
  </sheetViews>
  <sheetFormatPr defaultColWidth="10.5546875" defaultRowHeight="15"/>
  <cols>
    <col min="1" max="1" width="13.33203125" customWidth="1"/>
    <col min="2" max="2" width="10.5546875" customWidth="1"/>
    <col min="3" max="4" width="12.6640625" customWidth="1"/>
    <col min="5" max="5" width="13.6640625" customWidth="1"/>
    <col min="6" max="9" width="12.6640625" customWidth="1"/>
    <col min="10" max="19" width="10.6640625" customWidth="1"/>
  </cols>
  <sheetData>
    <row r="1" spans="1:7">
      <c r="A1" s="18" t="s">
        <v>69</v>
      </c>
      <c r="B1" s="18"/>
      <c r="C1" s="18" t="s">
        <v>63</v>
      </c>
      <c r="D1" s="18"/>
      <c r="E1" s="18"/>
      <c r="F1" s="33" t="s">
        <v>70</v>
      </c>
      <c r="G1" s="33"/>
    </row>
    <row r="2" spans="1:7">
      <c r="A2" s="32">
        <f ca="1">TODAY()</f>
        <v>42564</v>
      </c>
      <c r="B2" s="19"/>
      <c r="C2" s="18"/>
      <c r="D2" s="19"/>
      <c r="E2" s="19"/>
      <c r="F2" s="33"/>
      <c r="G2" s="33"/>
    </row>
    <row r="3" spans="1:7">
      <c r="A3" s="18"/>
      <c r="B3" s="19"/>
      <c r="C3" s="18" t="s">
        <v>64</v>
      </c>
      <c r="D3" s="19"/>
      <c r="E3" s="19"/>
      <c r="F3" s="19"/>
    </row>
    <row r="4" spans="1:7">
      <c r="A4" s="19"/>
      <c r="B4" s="19"/>
      <c r="C4" s="18" t="s">
        <v>62</v>
      </c>
      <c r="D4" s="19"/>
      <c r="E4" s="19"/>
      <c r="F4" s="19"/>
    </row>
    <row r="6" spans="1:7">
      <c r="A6" t="s">
        <v>68</v>
      </c>
    </row>
    <row r="7" spans="1:7">
      <c r="A7" t="s">
        <v>76</v>
      </c>
    </row>
    <row r="9" spans="1:7">
      <c r="A9" t="s">
        <v>71</v>
      </c>
    </row>
    <row r="10" spans="1:7">
      <c r="A10" t="s">
        <v>72</v>
      </c>
    </row>
    <row r="11" spans="1:7">
      <c r="A11" t="s">
        <v>73</v>
      </c>
    </row>
    <row r="12" spans="1:7" ht="15.75">
      <c r="A12" s="20" t="s">
        <v>74</v>
      </c>
    </row>
    <row r="13" spans="1:7">
      <c r="A13" t="s">
        <v>42</v>
      </c>
    </row>
    <row r="14" spans="1:7">
      <c r="A14" t="s">
        <v>52</v>
      </c>
    </row>
    <row r="15" spans="1:7" ht="15.75">
      <c r="A15" t="s">
        <v>75</v>
      </c>
    </row>
    <row r="16" spans="1:7">
      <c r="A16" t="s">
        <v>53</v>
      </c>
    </row>
    <row r="17" spans="1:9" ht="15.75" thickBot="1">
      <c r="A17" s="26"/>
      <c r="B17" s="26"/>
      <c r="C17" s="26"/>
      <c r="D17" s="26"/>
      <c r="E17" s="26"/>
      <c r="F17" s="26"/>
      <c r="G17" s="30"/>
      <c r="H17" s="30"/>
      <c r="I17" s="30"/>
    </row>
    <row r="18" spans="1:9" ht="15.75" thickTop="1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2" t="s">
        <v>0</v>
      </c>
      <c r="B19" s="2"/>
      <c r="C19" s="2"/>
      <c r="D19" s="2"/>
      <c r="E19" s="22" t="s">
        <v>58</v>
      </c>
      <c r="F19" s="2"/>
      <c r="H19" s="2"/>
      <c r="I19" s="2"/>
    </row>
    <row r="21" spans="1:9">
      <c r="A21" t="s">
        <v>43</v>
      </c>
      <c r="D21" s="28">
        <v>150000</v>
      </c>
      <c r="E21" t="s">
        <v>57</v>
      </c>
      <c r="F21" s="9">
        <f>E79</f>
        <v>875019.91231100447</v>
      </c>
    </row>
    <row r="22" spans="1:9">
      <c r="A22" t="s">
        <v>45</v>
      </c>
      <c r="D22" s="23">
        <v>200000</v>
      </c>
      <c r="E22" t="s">
        <v>56</v>
      </c>
      <c r="F22" s="5">
        <f>E80</f>
        <v>0.12926921133898306</v>
      </c>
      <c r="G22" t="s">
        <v>78</v>
      </c>
    </row>
    <row r="23" spans="1:9">
      <c r="A23" t="s">
        <v>2</v>
      </c>
      <c r="D23" s="23">
        <v>10000000</v>
      </c>
      <c r="E23" t="s">
        <v>55</v>
      </c>
      <c r="F23" s="5">
        <f>E81</f>
        <v>0.11825681596882641</v>
      </c>
    </row>
    <row r="24" spans="1:9">
      <c r="A24" t="s">
        <v>46</v>
      </c>
      <c r="D24" s="23">
        <v>5000000</v>
      </c>
      <c r="E24" t="s">
        <v>54</v>
      </c>
      <c r="F24" s="3">
        <f>E82</f>
        <v>4.1108273977427219</v>
      </c>
      <c r="G24" t="s">
        <v>77</v>
      </c>
    </row>
    <row r="25" spans="1:9">
      <c r="A25" t="s">
        <v>3</v>
      </c>
      <c r="D25" s="29">
        <v>20</v>
      </c>
      <c r="E25" t="s">
        <v>81</v>
      </c>
    </row>
    <row r="26" spans="1:9">
      <c r="A26" t="s">
        <v>65</v>
      </c>
      <c r="D26" s="23">
        <v>1000</v>
      </c>
    </row>
    <row r="27" spans="1:9">
      <c r="A27" t="s">
        <v>4</v>
      </c>
      <c r="D27" s="23">
        <v>918000</v>
      </c>
    </row>
    <row r="28" spans="1:9">
      <c r="A28" t="s">
        <v>5</v>
      </c>
      <c r="D28" s="23">
        <v>50000</v>
      </c>
    </row>
    <row r="29" spans="1:9">
      <c r="A29" t="s">
        <v>6</v>
      </c>
      <c r="D29" s="23">
        <v>36000</v>
      </c>
      <c r="E29" s="5"/>
      <c r="F29" s="5"/>
      <c r="G29" s="5"/>
      <c r="H29" s="5"/>
      <c r="I29" s="5"/>
    </row>
    <row r="30" spans="1:9">
      <c r="A30" t="s">
        <v>7</v>
      </c>
      <c r="D30" s="23">
        <v>200</v>
      </c>
      <c r="E30" s="9"/>
      <c r="F30" s="9"/>
      <c r="G30" s="9"/>
      <c r="H30" s="9"/>
      <c r="I30" s="9"/>
    </row>
    <row r="31" spans="1:9">
      <c r="A31" t="s">
        <v>66</v>
      </c>
      <c r="D31" s="24">
        <v>0.03</v>
      </c>
    </row>
    <row r="32" spans="1:9">
      <c r="A32" t="s">
        <v>8</v>
      </c>
      <c r="D32" s="24">
        <v>0.03</v>
      </c>
      <c r="E32" t="s">
        <v>79</v>
      </c>
    </row>
    <row r="33" spans="1:9">
      <c r="A33" t="s">
        <v>9</v>
      </c>
      <c r="D33" s="24">
        <v>0.4</v>
      </c>
      <c r="E33" s="9"/>
      <c r="F33" s="9"/>
      <c r="G33" s="9"/>
      <c r="H33" s="9"/>
      <c r="I33" s="9"/>
    </row>
    <row r="34" spans="1:9">
      <c r="A34" t="s">
        <v>60</v>
      </c>
      <c r="D34" s="31">
        <v>1000000</v>
      </c>
      <c r="E34" s="9"/>
      <c r="F34" s="9"/>
      <c r="G34" s="9"/>
      <c r="H34" s="9"/>
      <c r="I34" s="9"/>
    </row>
    <row r="35" spans="1:9">
      <c r="A35" t="s">
        <v>59</v>
      </c>
      <c r="D35" s="31">
        <v>500000</v>
      </c>
      <c r="E35" s="9"/>
      <c r="F35" s="9"/>
      <c r="G35" s="9"/>
      <c r="H35" s="9"/>
      <c r="I35" s="9"/>
    </row>
    <row r="36" spans="1:9">
      <c r="A36" t="s">
        <v>10</v>
      </c>
      <c r="D36" s="24">
        <v>0.1</v>
      </c>
      <c r="E36" s="9" t="s">
        <v>80</v>
      </c>
      <c r="F36" s="9"/>
      <c r="G36" s="9"/>
      <c r="H36" s="9"/>
      <c r="I36" s="9"/>
    </row>
    <row r="37" spans="1:9" ht="15.75" thickBot="1">
      <c r="A37" s="26"/>
      <c r="B37" s="26"/>
      <c r="C37" s="26"/>
      <c r="D37" s="26"/>
      <c r="E37" s="27"/>
      <c r="F37" s="27"/>
      <c r="G37" s="27"/>
      <c r="H37" s="27"/>
      <c r="I37" s="27"/>
    </row>
    <row r="38" spans="1:9" ht="15.75" thickTop="1"/>
    <row r="39" spans="1:9">
      <c r="A39" s="22" t="s">
        <v>11</v>
      </c>
      <c r="D39" s="7"/>
      <c r="E39" s="7"/>
      <c r="F39" s="7"/>
      <c r="G39" s="7"/>
      <c r="H39" s="7"/>
      <c r="I39" s="7"/>
    </row>
    <row r="40" spans="1:9">
      <c r="D40" s="7"/>
      <c r="E40" s="7"/>
      <c r="F40" s="7"/>
      <c r="G40" s="7"/>
      <c r="H40" s="7"/>
      <c r="I40" s="7"/>
    </row>
    <row r="41" spans="1:9">
      <c r="A41" s="25" t="s">
        <v>12</v>
      </c>
      <c r="D41" s="6"/>
      <c r="E41" s="6"/>
      <c r="F41" s="6"/>
      <c r="G41" s="6"/>
      <c r="H41" s="6"/>
      <c r="I41" s="6"/>
    </row>
    <row r="43" spans="1:9">
      <c r="C43" s="14" t="s">
        <v>13</v>
      </c>
      <c r="D43" s="16" t="s">
        <v>14</v>
      </c>
      <c r="E43" s="16" t="s">
        <v>15</v>
      </c>
    </row>
    <row r="44" spans="1:9">
      <c r="B44" s="15" t="s">
        <v>16</v>
      </c>
      <c r="C44" s="15" t="s">
        <v>17</v>
      </c>
      <c r="D44" s="17" t="s">
        <v>18</v>
      </c>
      <c r="E44" s="17" t="s">
        <v>19</v>
      </c>
    </row>
    <row r="45" spans="1:9">
      <c r="B45">
        <v>1</v>
      </c>
      <c r="C45" s="4">
        <v>0.2</v>
      </c>
      <c r="D45" s="9">
        <f t="shared" ref="D45:D50" si="0">$D$23*C45</f>
        <v>2000000</v>
      </c>
      <c r="E45" s="9">
        <f>$D$23-D45</f>
        <v>8000000</v>
      </c>
      <c r="F45" s="9"/>
      <c r="G45" s="2"/>
      <c r="H45" s="2"/>
      <c r="I45" s="2"/>
    </row>
    <row r="46" spans="1:9">
      <c r="B46">
        <v>2</v>
      </c>
      <c r="C46" s="4">
        <v>0.32</v>
      </c>
      <c r="D46" s="7">
        <f t="shared" si="0"/>
        <v>3200000</v>
      </c>
      <c r="E46" s="7">
        <f>E45-D46</f>
        <v>4800000</v>
      </c>
      <c r="F46" s="7"/>
    </row>
    <row r="47" spans="1:9">
      <c r="B47">
        <v>3</v>
      </c>
      <c r="C47" s="4">
        <v>0.19</v>
      </c>
      <c r="D47" s="7">
        <f t="shared" si="0"/>
        <v>1900000</v>
      </c>
      <c r="E47" s="7">
        <f>E46-D47</f>
        <v>2900000</v>
      </c>
      <c r="F47" s="7"/>
    </row>
    <row r="48" spans="1:9">
      <c r="B48">
        <v>4</v>
      </c>
      <c r="C48" s="4">
        <v>0.12</v>
      </c>
      <c r="D48" s="7">
        <f t="shared" si="0"/>
        <v>1200000</v>
      </c>
      <c r="E48" s="7">
        <f>E47-D48</f>
        <v>1700000</v>
      </c>
      <c r="F48" s="7"/>
    </row>
    <row r="49" spans="1:9">
      <c r="B49">
        <v>5</v>
      </c>
      <c r="C49" s="4">
        <v>0.11</v>
      </c>
      <c r="D49" s="7">
        <f t="shared" si="0"/>
        <v>1100000</v>
      </c>
      <c r="E49" s="7">
        <f>E48-D49</f>
        <v>600000</v>
      </c>
      <c r="F49" s="7"/>
    </row>
    <row r="50" spans="1:9">
      <c r="B50">
        <v>6</v>
      </c>
      <c r="C50" s="4">
        <v>0.06</v>
      </c>
      <c r="D50" s="7">
        <f t="shared" si="0"/>
        <v>600000</v>
      </c>
      <c r="E50" s="7">
        <f>E49-D50</f>
        <v>0</v>
      </c>
    </row>
    <row r="52" spans="1:9">
      <c r="A52" s="25" t="s">
        <v>20</v>
      </c>
      <c r="E52" s="8"/>
      <c r="F52" s="8"/>
      <c r="G52" s="9"/>
      <c r="H52" s="8"/>
    </row>
    <row r="53" spans="1:9">
      <c r="F53" s="8"/>
      <c r="G53" s="7"/>
      <c r="H53" s="1"/>
    </row>
    <row r="54" spans="1:9">
      <c r="D54" s="12" t="s">
        <v>21</v>
      </c>
      <c r="E54" s="12"/>
      <c r="F54" s="12"/>
      <c r="G54" s="12"/>
      <c r="H54" s="12"/>
      <c r="I54" s="12"/>
    </row>
    <row r="55" spans="1:9">
      <c r="D55" s="17" t="s">
        <v>22</v>
      </c>
      <c r="E55" s="17" t="s">
        <v>23</v>
      </c>
      <c r="F55" s="17" t="s">
        <v>24</v>
      </c>
      <c r="G55" s="17" t="s">
        <v>25</v>
      </c>
      <c r="H55" s="17" t="s">
        <v>26</v>
      </c>
      <c r="I55" s="17" t="s">
        <v>27</v>
      </c>
    </row>
    <row r="56" spans="1:9">
      <c r="A56" t="s">
        <v>1</v>
      </c>
      <c r="D56" s="9">
        <f>-D22</f>
        <v>-200000</v>
      </c>
      <c r="F56" s="1"/>
      <c r="G56" s="8"/>
      <c r="H56" s="8"/>
    </row>
    <row r="57" spans="1:9">
      <c r="A57" t="s">
        <v>2</v>
      </c>
      <c r="D57" s="7">
        <f>-D23</f>
        <v>-10000000</v>
      </c>
      <c r="F57" s="1"/>
      <c r="G57" s="1"/>
      <c r="H57" s="1"/>
    </row>
    <row r="58" spans="1:9">
      <c r="A58" t="s">
        <v>67</v>
      </c>
      <c r="E58" s="9">
        <f>(250*D25*D26)-D34</f>
        <v>4000000</v>
      </c>
      <c r="F58" s="9">
        <f>(250*D25*D26-D34)*(1+D31)</f>
        <v>4120000</v>
      </c>
      <c r="G58" s="9">
        <f>(250*D25*D26-D34)*(1+D31)^2</f>
        <v>4243600</v>
      </c>
      <c r="H58" s="9">
        <f>(250*D25*D26-D34)*(1+D31)^3</f>
        <v>4370908</v>
      </c>
      <c r="I58" s="9">
        <f>(250*D25*D26-D34)*(1+D31)^4</f>
        <v>4502035.2399999993</v>
      </c>
    </row>
    <row r="59" spans="1:9">
      <c r="A59" t="s">
        <v>28</v>
      </c>
      <c r="E59" s="7">
        <f>D27</f>
        <v>918000</v>
      </c>
      <c r="F59" s="7">
        <f t="shared" ref="F59:I61" si="1">E59*(1+$D$32)</f>
        <v>945540</v>
      </c>
      <c r="G59" s="7">
        <f t="shared" si="1"/>
        <v>973906.20000000007</v>
      </c>
      <c r="H59" s="7">
        <f t="shared" si="1"/>
        <v>1003123.3860000001</v>
      </c>
      <c r="I59" s="7">
        <f t="shared" si="1"/>
        <v>1033217.0875800001</v>
      </c>
    </row>
    <row r="60" spans="1:9">
      <c r="A60" t="s">
        <v>61</v>
      </c>
      <c r="E60" s="7">
        <f>-D35</f>
        <v>-500000</v>
      </c>
      <c r="F60" s="7">
        <f t="shared" si="1"/>
        <v>-515000</v>
      </c>
      <c r="G60" s="7">
        <f t="shared" si="1"/>
        <v>-530450</v>
      </c>
      <c r="H60" s="7">
        <f t="shared" si="1"/>
        <v>-546363.5</v>
      </c>
      <c r="I60" s="7">
        <f t="shared" si="1"/>
        <v>-562754.40500000003</v>
      </c>
    </row>
    <row r="61" spans="1:9">
      <c r="A61" t="s">
        <v>47</v>
      </c>
      <c r="E61" s="7">
        <f>D28</f>
        <v>50000</v>
      </c>
      <c r="F61" s="7">
        <f t="shared" si="1"/>
        <v>51500</v>
      </c>
      <c r="G61" s="7">
        <f t="shared" si="1"/>
        <v>53045</v>
      </c>
      <c r="H61" s="7">
        <f t="shared" si="1"/>
        <v>54636.35</v>
      </c>
      <c r="I61" s="7">
        <f t="shared" si="1"/>
        <v>56275.440499999997</v>
      </c>
    </row>
    <row r="62" spans="1:9">
      <c r="A62" t="s">
        <v>48</v>
      </c>
      <c r="E62" s="7">
        <f>250*D25*$D$30</f>
        <v>1000000</v>
      </c>
      <c r="F62" s="7">
        <f>250*D25*$D$30*(1+$D$32)^1</f>
        <v>1030000</v>
      </c>
      <c r="G62" s="7">
        <f>250*D25*$D$30*(1+$D$32)^2</f>
        <v>1060900</v>
      </c>
      <c r="H62" s="7">
        <f>250*D25*$D$30*(1+$D$32)^3</f>
        <v>1092727</v>
      </c>
      <c r="I62" s="7">
        <f>250*D25*$D$30*(1+$D$32)^4</f>
        <v>1125508.8099999998</v>
      </c>
    </row>
    <row r="63" spans="1:9">
      <c r="A63" t="s">
        <v>49</v>
      </c>
      <c r="E63" s="7">
        <f>D29</f>
        <v>36000</v>
      </c>
      <c r="F63" s="7">
        <f>E63*(1+$D$32)</f>
        <v>37080</v>
      </c>
      <c r="G63" s="7">
        <f>F63*(1+$D$32)</f>
        <v>38192.400000000001</v>
      </c>
      <c r="H63" s="7">
        <f>G63*(1+$D$32)</f>
        <v>39338.172000000006</v>
      </c>
      <c r="I63" s="7">
        <f>H63*(1+$D$32)</f>
        <v>40518.317160000006</v>
      </c>
    </row>
    <row r="64" spans="1:9">
      <c r="A64" t="s">
        <v>50</v>
      </c>
      <c r="D64" s="12"/>
      <c r="E64" s="11">
        <f>D45</f>
        <v>2000000</v>
      </c>
      <c r="F64" s="11">
        <f>D46</f>
        <v>3200000</v>
      </c>
      <c r="G64" s="11">
        <f>D47</f>
        <v>1900000</v>
      </c>
      <c r="H64" s="11">
        <f>D48</f>
        <v>1200000</v>
      </c>
      <c r="I64" s="11">
        <f>D49</f>
        <v>1100000</v>
      </c>
    </row>
    <row r="65" spans="1:9">
      <c r="A65" t="s">
        <v>29</v>
      </c>
      <c r="E65" s="9">
        <f>E58-SUM(E59:E64)</f>
        <v>496000</v>
      </c>
      <c r="F65" s="9">
        <f>F58-SUM(F59:F64)</f>
        <v>-629120</v>
      </c>
      <c r="G65" s="9">
        <f>G58-SUM(G59:G64)</f>
        <v>748006.39999999991</v>
      </c>
      <c r="H65" s="9">
        <f>H58-SUM(H59:H64)</f>
        <v>1527446.5920000002</v>
      </c>
      <c r="I65" s="9">
        <f>I58-SUM(I59:I64)</f>
        <v>1709269.9897599993</v>
      </c>
    </row>
    <row r="66" spans="1:9">
      <c r="A66" t="s">
        <v>30</v>
      </c>
      <c r="B66" s="2"/>
      <c r="C66" s="2"/>
      <c r="D66" s="10"/>
      <c r="E66" s="11">
        <f>E65*$D$33</f>
        <v>198400</v>
      </c>
      <c r="F66" s="11">
        <f>F65*$D$33</f>
        <v>-251648</v>
      </c>
      <c r="G66" s="11">
        <f>G65*$D$33</f>
        <v>299202.56</v>
      </c>
      <c r="H66" s="11">
        <f>H65*$D$33</f>
        <v>610978.63680000009</v>
      </c>
      <c r="I66" s="11">
        <f>I65*$D$33</f>
        <v>683707.99590399978</v>
      </c>
    </row>
    <row r="67" spans="1:9">
      <c r="A67" t="s">
        <v>31</v>
      </c>
      <c r="B67" s="2"/>
      <c r="C67" s="2"/>
      <c r="D67" s="2"/>
      <c r="E67" s="9">
        <f>E65-E66</f>
        <v>297600</v>
      </c>
      <c r="F67" s="9">
        <f>F65-F66</f>
        <v>-377472</v>
      </c>
      <c r="G67" s="9">
        <f>G65-G66</f>
        <v>448803.83999999991</v>
      </c>
      <c r="H67" s="9">
        <f>H65-H66</f>
        <v>916467.95520000008</v>
      </c>
      <c r="I67" s="9">
        <f>I65-I66</f>
        <v>1025561.9938559995</v>
      </c>
    </row>
    <row r="68" spans="1:9">
      <c r="A68" t="s">
        <v>32</v>
      </c>
      <c r="E68" s="7">
        <f>E64</f>
        <v>2000000</v>
      </c>
      <c r="F68" s="7">
        <f>F64</f>
        <v>3200000</v>
      </c>
      <c r="G68" s="7">
        <f>G64</f>
        <v>1900000</v>
      </c>
      <c r="H68" s="7">
        <f>H64</f>
        <v>1200000</v>
      </c>
      <c r="I68" s="7">
        <f>I64</f>
        <v>1100000</v>
      </c>
    </row>
    <row r="69" spans="1:9">
      <c r="A69" t="s">
        <v>44</v>
      </c>
      <c r="I69" s="7">
        <f>D22-(D22-D21)*D33</f>
        <v>180000</v>
      </c>
    </row>
    <row r="70" spans="1:9">
      <c r="A70" t="s">
        <v>51</v>
      </c>
      <c r="B70" s="2"/>
      <c r="C70" s="2"/>
      <c r="D70" s="10"/>
      <c r="E70" s="10"/>
      <c r="F70" s="10"/>
      <c r="G70" s="10"/>
      <c r="H70" s="10"/>
      <c r="I70" s="11">
        <f>D24-(D24-E49)*D33</f>
        <v>3240000</v>
      </c>
    </row>
    <row r="72" spans="1:9">
      <c r="A72" t="s">
        <v>33</v>
      </c>
      <c r="D72" s="13">
        <f>D56+D57</f>
        <v>-10200000</v>
      </c>
      <c r="E72" s="13">
        <f>E67+E68+E70</f>
        <v>2297600</v>
      </c>
      <c r="F72" s="13">
        <f>F67+F68+F70</f>
        <v>2822528</v>
      </c>
      <c r="G72" s="13">
        <f>G67+G68+G70</f>
        <v>2348803.84</v>
      </c>
      <c r="H72" s="13">
        <f>H67+H68+H70</f>
        <v>2116467.9552000002</v>
      </c>
      <c r="I72" s="13">
        <f>I67+I68+I69+I70</f>
        <v>5545561.9938559998</v>
      </c>
    </row>
    <row r="74" spans="1:9">
      <c r="A74" t="s">
        <v>34</v>
      </c>
      <c r="D74" s="9">
        <f>D72</f>
        <v>-10200000</v>
      </c>
      <c r="E74" s="9">
        <f>D72+E72</f>
        <v>-7902400</v>
      </c>
      <c r="F74" s="9">
        <f>D72+E72+F72</f>
        <v>-5079872</v>
      </c>
      <c r="G74" s="9">
        <f>D72+E72+F72+G72</f>
        <v>-2731068.16</v>
      </c>
      <c r="H74" s="9">
        <f>D72+E72+F72+G72+H72</f>
        <v>-614600.20479999995</v>
      </c>
      <c r="I74" s="9">
        <f>D72+E72+F72+G72+H72+I72</f>
        <v>4930961.7890559994</v>
      </c>
    </row>
    <row r="75" spans="1:9">
      <c r="A75" t="s">
        <v>35</v>
      </c>
    </row>
    <row r="76" spans="1:9">
      <c r="D76" s="7"/>
      <c r="E76" s="7"/>
    </row>
    <row r="77" spans="1:9">
      <c r="A77" s="25" t="s">
        <v>36</v>
      </c>
      <c r="D77" s="9"/>
      <c r="E77" s="9"/>
    </row>
    <row r="78" spans="1:9">
      <c r="D78" s="5"/>
      <c r="E78" s="5"/>
    </row>
    <row r="79" spans="1:9">
      <c r="A79" t="s">
        <v>37</v>
      </c>
      <c r="E79" s="9">
        <f>NPV(D36,E72:I72)+D72</f>
        <v>875019.91231100447</v>
      </c>
    </row>
    <row r="80" spans="1:9">
      <c r="A80" t="s">
        <v>38</v>
      </c>
      <c r="D80" s="9"/>
      <c r="E80" s="5">
        <f>IRR(D72:I72,0)</f>
        <v>0.12926921133898306</v>
      </c>
    </row>
    <row r="81" spans="1:9">
      <c r="A81" t="s">
        <v>39</v>
      </c>
      <c r="E81" s="5">
        <f>RATE(5,,D72,+I72+H72*(1+D36)+G72*(1+D36)^2+F72*(1+D36)^3+E72*(1+D36)^4)</f>
        <v>0.11825681596882641</v>
      </c>
    </row>
    <row r="82" spans="1:9">
      <c r="A82" t="s">
        <v>40</v>
      </c>
      <c r="D82" s="9"/>
      <c r="E82" s="3">
        <f>IF(E74&gt;0,0+(-E74/E72),IF(F74&gt;0,1+(-E74/F72),IF(G74&gt;0,2+(-F74/G72),IF(H74&gt;0,3+(-G74/H72),IF(I74&gt;0,4+(-H74/I72),999)))))</f>
        <v>4.1108273977427219</v>
      </c>
    </row>
    <row r="83" spans="1:9" ht="15.75" thickBot="1">
      <c r="A83" s="26"/>
      <c r="B83" s="26"/>
      <c r="C83" s="26"/>
      <c r="D83" s="26"/>
      <c r="E83" s="27"/>
      <c r="F83" s="27"/>
      <c r="G83" s="27"/>
      <c r="H83" s="27"/>
      <c r="I83" s="27"/>
    </row>
    <row r="84" spans="1:9" ht="15.75" thickTop="1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I85" s="21" t="s">
        <v>41</v>
      </c>
    </row>
  </sheetData>
  <mergeCells count="1">
    <mergeCell ref="F1:G2"/>
  </mergeCells>
  <phoneticPr fontId="0" type="noConversion"/>
  <pageMargins left="0.5" right="0.5" top="0.75" bottom="0.75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D23" sqref="D23"/>
    </sheetView>
  </sheetViews>
  <sheetFormatPr defaultColWidth="11.5546875" defaultRowHeight="15"/>
  <sheetData>
    <row r="1" spans="1:7">
      <c r="A1" s="18" t="s">
        <v>69</v>
      </c>
      <c r="B1" s="18"/>
      <c r="C1" s="18" t="s">
        <v>63</v>
      </c>
      <c r="D1" s="18"/>
      <c r="E1" s="18"/>
      <c r="F1" s="33" t="s">
        <v>70</v>
      </c>
      <c r="G1" s="33"/>
    </row>
    <row r="2" spans="1:7">
      <c r="A2" s="32">
        <f ca="1">TODAY()</f>
        <v>42564</v>
      </c>
      <c r="B2" s="19"/>
      <c r="C2" s="18"/>
      <c r="D2" s="19"/>
      <c r="E2" s="19"/>
      <c r="F2" s="33"/>
      <c r="G2" s="33"/>
    </row>
    <row r="3" spans="1:7">
      <c r="A3" s="18"/>
      <c r="B3" s="19"/>
      <c r="C3" s="18" t="s">
        <v>64</v>
      </c>
      <c r="D3" s="19"/>
      <c r="E3" s="19"/>
      <c r="F3" s="19"/>
    </row>
    <row r="4" spans="1:7">
      <c r="A4" s="19"/>
      <c r="B4" s="19"/>
      <c r="C4" s="18" t="s">
        <v>62</v>
      </c>
      <c r="D4" s="19"/>
      <c r="E4" s="19"/>
      <c r="F4" s="19"/>
    </row>
    <row r="6" spans="1:7">
      <c r="A6" t="s">
        <v>68</v>
      </c>
    </row>
    <row r="7" spans="1:7">
      <c r="A7" t="s">
        <v>76</v>
      </c>
    </row>
    <row r="9" spans="1:7">
      <c r="A9" t="s">
        <v>71</v>
      </c>
    </row>
    <row r="10" spans="1:7">
      <c r="A10" t="s">
        <v>72</v>
      </c>
    </row>
    <row r="11" spans="1:7">
      <c r="A11" t="s">
        <v>73</v>
      </c>
    </row>
    <row r="12" spans="1:7" ht="15.75">
      <c r="A12" s="20" t="s">
        <v>74</v>
      </c>
    </row>
    <row r="13" spans="1:7">
      <c r="A13" t="s">
        <v>42</v>
      </c>
    </row>
    <row r="14" spans="1:7">
      <c r="A14" t="s">
        <v>52</v>
      </c>
    </row>
    <row r="15" spans="1:7" ht="15.75">
      <c r="A15" t="s">
        <v>75</v>
      </c>
    </row>
    <row r="16" spans="1:7">
      <c r="A16" t="s">
        <v>53</v>
      </c>
    </row>
    <row r="17" spans="1:9" ht="15.75" thickBot="1">
      <c r="A17" s="26"/>
      <c r="B17" s="26"/>
      <c r="C17" s="26"/>
      <c r="D17" s="26"/>
      <c r="E17" s="26"/>
      <c r="F17" s="26"/>
      <c r="G17" s="30"/>
      <c r="H17" s="30"/>
      <c r="I17" s="30"/>
    </row>
    <row r="18" spans="1:9" ht="15.75" thickTop="1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2" t="s">
        <v>0</v>
      </c>
      <c r="B19" s="2"/>
      <c r="C19" s="2"/>
      <c r="D19" s="2"/>
      <c r="E19" s="22" t="s">
        <v>58</v>
      </c>
      <c r="F19" s="2"/>
      <c r="H19" s="2"/>
      <c r="I19" s="2"/>
    </row>
    <row r="21" spans="1:9">
      <c r="A21" t="s">
        <v>43</v>
      </c>
      <c r="D21" s="28">
        <v>150000</v>
      </c>
      <c r="E21" t="s">
        <v>57</v>
      </c>
      <c r="F21" s="9">
        <f>E79</f>
        <v>875019.91231100447</v>
      </c>
    </row>
    <row r="22" spans="1:9">
      <c r="A22" t="s">
        <v>45</v>
      </c>
      <c r="D22" s="23">
        <v>200000</v>
      </c>
      <c r="E22" t="s">
        <v>56</v>
      </c>
      <c r="F22" s="5">
        <f>E80</f>
        <v>0.12926921133898306</v>
      </c>
      <c r="G22" t="s">
        <v>78</v>
      </c>
    </row>
    <row r="23" spans="1:9">
      <c r="A23" t="s">
        <v>2</v>
      </c>
      <c r="D23" s="23">
        <v>10000000</v>
      </c>
      <c r="E23" t="s">
        <v>55</v>
      </c>
      <c r="F23" s="5">
        <f>E81</f>
        <v>0.11825681596882641</v>
      </c>
    </row>
    <row r="24" spans="1:9">
      <c r="A24" t="s">
        <v>46</v>
      </c>
      <c r="D24" s="23">
        <v>5000000</v>
      </c>
      <c r="E24" t="s">
        <v>54</v>
      </c>
      <c r="F24" s="3">
        <f>E82</f>
        <v>4.1108273977427219</v>
      </c>
      <c r="G24" t="s">
        <v>77</v>
      </c>
    </row>
    <row r="25" spans="1:9">
      <c r="A25" t="s">
        <v>3</v>
      </c>
      <c r="D25" s="29">
        <v>20</v>
      </c>
    </row>
    <row r="26" spans="1:9">
      <c r="A26" t="s">
        <v>65</v>
      </c>
      <c r="D26" s="23">
        <v>1000</v>
      </c>
    </row>
    <row r="27" spans="1:9">
      <c r="A27" t="s">
        <v>4</v>
      </c>
      <c r="D27" s="23">
        <v>918000</v>
      </c>
    </row>
    <row r="28" spans="1:9">
      <c r="A28" t="s">
        <v>5</v>
      </c>
      <c r="D28" s="23">
        <v>50000</v>
      </c>
    </row>
    <row r="29" spans="1:9">
      <c r="A29" t="s">
        <v>6</v>
      </c>
      <c r="D29" s="23">
        <v>36000</v>
      </c>
      <c r="E29" s="5"/>
      <c r="F29" s="5"/>
      <c r="G29" s="5"/>
      <c r="H29" s="5"/>
      <c r="I29" s="5"/>
    </row>
    <row r="30" spans="1:9">
      <c r="A30" t="s">
        <v>7</v>
      </c>
      <c r="D30" s="23">
        <v>200</v>
      </c>
      <c r="E30" s="9"/>
      <c r="F30" s="9"/>
      <c r="G30" s="9"/>
      <c r="H30" s="9"/>
      <c r="I30" s="9"/>
    </row>
    <row r="31" spans="1:9">
      <c r="A31" t="s">
        <v>66</v>
      </c>
      <c r="D31" s="24">
        <v>0.03</v>
      </c>
    </row>
    <row r="32" spans="1:9">
      <c r="A32" t="s">
        <v>8</v>
      </c>
      <c r="D32" s="24">
        <v>0.03</v>
      </c>
    </row>
    <row r="33" spans="1:9">
      <c r="A33" t="s">
        <v>9</v>
      </c>
      <c r="D33" s="24">
        <v>0.4</v>
      </c>
      <c r="E33" s="9"/>
      <c r="F33" s="9"/>
      <c r="G33" s="9"/>
      <c r="H33" s="9"/>
      <c r="I33" s="9"/>
    </row>
    <row r="34" spans="1:9">
      <c r="A34" t="s">
        <v>60</v>
      </c>
      <c r="D34" s="31">
        <v>1000000</v>
      </c>
      <c r="E34" s="9"/>
      <c r="F34" s="9"/>
      <c r="G34" s="9"/>
      <c r="H34" s="9"/>
      <c r="I34" s="9"/>
    </row>
    <row r="35" spans="1:9">
      <c r="A35" t="s">
        <v>59</v>
      </c>
      <c r="D35" s="31">
        <v>500000</v>
      </c>
      <c r="E35" s="9"/>
      <c r="F35" s="9"/>
      <c r="G35" s="9"/>
      <c r="H35" s="9"/>
      <c r="I35" s="9"/>
    </row>
    <row r="36" spans="1:9">
      <c r="A36" t="s">
        <v>10</v>
      </c>
      <c r="D36" s="24">
        <v>0.1</v>
      </c>
      <c r="E36" s="9"/>
      <c r="F36" s="9"/>
      <c r="G36" s="9"/>
      <c r="H36" s="9"/>
      <c r="I36" s="9"/>
    </row>
    <row r="37" spans="1:9" ht="15.75" thickBot="1">
      <c r="A37" s="26"/>
      <c r="B37" s="26"/>
      <c r="C37" s="26"/>
      <c r="D37" s="26"/>
      <c r="E37" s="27"/>
      <c r="F37" s="27"/>
      <c r="G37" s="27"/>
      <c r="H37" s="27"/>
      <c r="I37" s="27"/>
    </row>
    <row r="38" spans="1:9" ht="15.75" thickTop="1"/>
    <row r="39" spans="1:9">
      <c r="A39" s="22" t="s">
        <v>11</v>
      </c>
      <c r="D39" s="7"/>
      <c r="E39" s="7"/>
      <c r="F39" s="7"/>
      <c r="G39" s="7"/>
      <c r="H39" s="7"/>
      <c r="I39" s="7"/>
    </row>
    <row r="40" spans="1:9">
      <c r="D40" s="7"/>
      <c r="E40" s="7"/>
      <c r="F40" s="7"/>
      <c r="G40" s="7"/>
      <c r="H40" s="7"/>
      <c r="I40" s="7"/>
    </row>
    <row r="41" spans="1:9">
      <c r="A41" s="25" t="s">
        <v>12</v>
      </c>
      <c r="D41" s="6"/>
      <c r="E41" s="6"/>
      <c r="F41" s="6"/>
      <c r="G41" s="6"/>
      <c r="H41" s="6"/>
      <c r="I41" s="6"/>
    </row>
    <row r="43" spans="1:9">
      <c r="C43" s="14" t="s">
        <v>13</v>
      </c>
      <c r="D43" s="16" t="s">
        <v>14</v>
      </c>
      <c r="E43" s="16" t="s">
        <v>15</v>
      </c>
    </row>
    <row r="44" spans="1:9">
      <c r="B44" s="15" t="s">
        <v>16</v>
      </c>
      <c r="C44" s="15" t="s">
        <v>17</v>
      </c>
      <c r="D44" s="17" t="s">
        <v>18</v>
      </c>
      <c r="E44" s="17" t="s">
        <v>19</v>
      </c>
    </row>
    <row r="45" spans="1:9">
      <c r="B45">
        <v>1</v>
      </c>
      <c r="C45" s="4">
        <v>0.2</v>
      </c>
      <c r="D45" s="9">
        <f t="shared" ref="D45:D50" si="0">$D$23*C45</f>
        <v>2000000</v>
      </c>
      <c r="E45" s="9">
        <f>$D$23-D45</f>
        <v>8000000</v>
      </c>
      <c r="F45" s="9"/>
      <c r="G45" s="2"/>
      <c r="H45" s="2"/>
      <c r="I45" s="2"/>
    </row>
    <row r="46" spans="1:9">
      <c r="B46">
        <v>2</v>
      </c>
      <c r="C46" s="4">
        <v>0.32</v>
      </c>
      <c r="D46" s="7">
        <f t="shared" si="0"/>
        <v>3200000</v>
      </c>
      <c r="E46" s="7">
        <f>E45-D46</f>
        <v>4800000</v>
      </c>
      <c r="F46" s="7"/>
    </row>
    <row r="47" spans="1:9">
      <c r="B47">
        <v>3</v>
      </c>
      <c r="C47" s="4">
        <v>0.19</v>
      </c>
      <c r="D47" s="7">
        <f t="shared" si="0"/>
        <v>1900000</v>
      </c>
      <c r="E47" s="7">
        <f>E46-D47</f>
        <v>2900000</v>
      </c>
      <c r="F47" s="7"/>
    </row>
    <row r="48" spans="1:9">
      <c r="B48">
        <v>4</v>
      </c>
      <c r="C48" s="4">
        <v>0.12</v>
      </c>
      <c r="D48" s="7">
        <f t="shared" si="0"/>
        <v>1200000</v>
      </c>
      <c r="E48" s="7">
        <f>E47-D48</f>
        <v>1700000</v>
      </c>
      <c r="F48" s="7"/>
    </row>
    <row r="49" spans="1:9">
      <c r="B49">
        <v>5</v>
      </c>
      <c r="C49" s="4">
        <v>0.11</v>
      </c>
      <c r="D49" s="7">
        <f t="shared" si="0"/>
        <v>1100000</v>
      </c>
      <c r="E49" s="7">
        <f>E48-D49</f>
        <v>600000</v>
      </c>
      <c r="F49" s="7"/>
    </row>
    <row r="50" spans="1:9">
      <c r="B50">
        <v>6</v>
      </c>
      <c r="C50" s="4">
        <v>0.06</v>
      </c>
      <c r="D50" s="7">
        <f t="shared" si="0"/>
        <v>600000</v>
      </c>
      <c r="E50" s="7">
        <f>E49-D50</f>
        <v>0</v>
      </c>
    </row>
    <row r="52" spans="1:9">
      <c r="A52" s="25" t="s">
        <v>20</v>
      </c>
      <c r="E52" s="8"/>
      <c r="F52" s="8"/>
      <c r="G52" s="9"/>
      <c r="H52" s="8"/>
    </row>
    <row r="53" spans="1:9">
      <c r="F53" s="8"/>
      <c r="G53" s="7"/>
      <c r="H53" s="1"/>
    </row>
    <row r="54" spans="1:9">
      <c r="D54" s="12" t="s">
        <v>21</v>
      </c>
      <c r="E54" s="12"/>
      <c r="F54" s="12"/>
      <c r="G54" s="12"/>
      <c r="H54" s="12"/>
      <c r="I54" s="12"/>
    </row>
    <row r="55" spans="1:9">
      <c r="D55" s="17" t="s">
        <v>22</v>
      </c>
      <c r="E55" s="17" t="s">
        <v>23</v>
      </c>
      <c r="F55" s="17" t="s">
        <v>24</v>
      </c>
      <c r="G55" s="17" t="s">
        <v>25</v>
      </c>
      <c r="H55" s="17" t="s">
        <v>26</v>
      </c>
      <c r="I55" s="17" t="s">
        <v>27</v>
      </c>
    </row>
    <row r="56" spans="1:9">
      <c r="A56" t="s">
        <v>1</v>
      </c>
      <c r="D56" s="9">
        <f>-D22</f>
        <v>-200000</v>
      </c>
      <c r="F56" s="1"/>
      <c r="G56" s="8"/>
      <c r="H56" s="8"/>
    </row>
    <row r="57" spans="1:9">
      <c r="A57" t="s">
        <v>2</v>
      </c>
      <c r="D57" s="7">
        <f>-D23</f>
        <v>-10000000</v>
      </c>
      <c r="F57" s="1"/>
      <c r="G57" s="1"/>
      <c r="H57" s="1"/>
    </row>
    <row r="58" spans="1:9">
      <c r="A58" t="s">
        <v>67</v>
      </c>
      <c r="E58" s="9">
        <f>(250*D25*D26)-D34</f>
        <v>4000000</v>
      </c>
      <c r="F58" s="9">
        <f>(250*D25*D26-D34)*(1+D31)</f>
        <v>4120000</v>
      </c>
      <c r="G58" s="9">
        <f>(250*D25*D26-D34)*(1+D31)^2</f>
        <v>4243600</v>
      </c>
      <c r="H58" s="9">
        <f>(250*D25*D26-D34)*(1+D31)^3</f>
        <v>4370908</v>
      </c>
      <c r="I58" s="9">
        <f>(250*D25*D26-D34)*(1+D31)^4</f>
        <v>4502035.2399999993</v>
      </c>
    </row>
    <row r="59" spans="1:9">
      <c r="A59" t="s">
        <v>28</v>
      </c>
      <c r="E59" s="7">
        <f>D27</f>
        <v>918000</v>
      </c>
      <c r="F59" s="7">
        <f t="shared" ref="F59:I61" si="1">E59*(1+$D$32)</f>
        <v>945540</v>
      </c>
      <c r="G59" s="7">
        <f t="shared" si="1"/>
        <v>973906.20000000007</v>
      </c>
      <c r="H59" s="7">
        <f t="shared" si="1"/>
        <v>1003123.3860000001</v>
      </c>
      <c r="I59" s="7">
        <f t="shared" si="1"/>
        <v>1033217.0875800001</v>
      </c>
    </row>
    <row r="60" spans="1:9">
      <c r="A60" t="s">
        <v>61</v>
      </c>
      <c r="E60" s="7">
        <f>-D35</f>
        <v>-500000</v>
      </c>
      <c r="F60" s="7">
        <f t="shared" si="1"/>
        <v>-515000</v>
      </c>
      <c r="G60" s="7">
        <f t="shared" si="1"/>
        <v>-530450</v>
      </c>
      <c r="H60" s="7">
        <f t="shared" si="1"/>
        <v>-546363.5</v>
      </c>
      <c r="I60" s="7">
        <f t="shared" si="1"/>
        <v>-562754.40500000003</v>
      </c>
    </row>
    <row r="61" spans="1:9">
      <c r="A61" t="s">
        <v>47</v>
      </c>
      <c r="E61" s="7">
        <f>D28</f>
        <v>50000</v>
      </c>
      <c r="F61" s="7">
        <f t="shared" si="1"/>
        <v>51500</v>
      </c>
      <c r="G61" s="7">
        <f t="shared" si="1"/>
        <v>53045</v>
      </c>
      <c r="H61" s="7">
        <f t="shared" si="1"/>
        <v>54636.35</v>
      </c>
      <c r="I61" s="7">
        <f t="shared" si="1"/>
        <v>56275.440499999997</v>
      </c>
    </row>
    <row r="62" spans="1:9">
      <c r="A62" t="s">
        <v>48</v>
      </c>
      <c r="E62" s="7">
        <f>250*D25*$D$30</f>
        <v>1000000</v>
      </c>
      <c r="F62" s="7">
        <f>250*D25*$D$30*(1+$D$32)^1</f>
        <v>1030000</v>
      </c>
      <c r="G62" s="7">
        <f>250*D25*$D$30*(1+$D$32)^2</f>
        <v>1060900</v>
      </c>
      <c r="H62" s="7">
        <f>250*D25*$D$30*(1+$D$32)^3</f>
        <v>1092727</v>
      </c>
      <c r="I62" s="7">
        <f>250*D25*$D$30*(1+$D$32)^4</f>
        <v>1125508.8099999998</v>
      </c>
    </row>
    <row r="63" spans="1:9">
      <c r="A63" t="s">
        <v>49</v>
      </c>
      <c r="E63" s="7">
        <f>D29</f>
        <v>36000</v>
      </c>
      <c r="F63" s="7">
        <f>E63*(1+$D$32)</f>
        <v>37080</v>
      </c>
      <c r="G63" s="7">
        <f>F63*(1+$D$32)</f>
        <v>38192.400000000001</v>
      </c>
      <c r="H63" s="7">
        <f>G63*(1+$D$32)</f>
        <v>39338.172000000006</v>
      </c>
      <c r="I63" s="7">
        <f>H63*(1+$D$32)</f>
        <v>40518.317160000006</v>
      </c>
    </row>
    <row r="64" spans="1:9">
      <c r="A64" t="s">
        <v>50</v>
      </c>
      <c r="D64" s="12"/>
      <c r="E64" s="11">
        <f>D45</f>
        <v>2000000</v>
      </c>
      <c r="F64" s="11">
        <f>D46</f>
        <v>3200000</v>
      </c>
      <c r="G64" s="11">
        <f>D47</f>
        <v>1900000</v>
      </c>
      <c r="H64" s="11">
        <f>D48</f>
        <v>1200000</v>
      </c>
      <c r="I64" s="11">
        <f>D49</f>
        <v>1100000</v>
      </c>
    </row>
    <row r="65" spans="1:9">
      <c r="A65" t="s">
        <v>29</v>
      </c>
      <c r="E65" s="9">
        <f>E58-SUM(E59:E64)</f>
        <v>496000</v>
      </c>
      <c r="F65" s="9">
        <f>F58-SUM(F59:F64)</f>
        <v>-629120</v>
      </c>
      <c r="G65" s="9">
        <f>G58-SUM(G59:G64)</f>
        <v>748006.39999999991</v>
      </c>
      <c r="H65" s="9">
        <f>H58-SUM(H59:H64)</f>
        <v>1527446.5920000002</v>
      </c>
      <c r="I65" s="9">
        <f>I58-SUM(I59:I64)</f>
        <v>1709269.9897599993</v>
      </c>
    </row>
    <row r="66" spans="1:9">
      <c r="A66" t="s">
        <v>30</v>
      </c>
      <c r="B66" s="2"/>
      <c r="C66" s="2"/>
      <c r="D66" s="10"/>
      <c r="E66" s="11">
        <f>E65*$D$33</f>
        <v>198400</v>
      </c>
      <c r="F66" s="11">
        <f>F65*$D$33</f>
        <v>-251648</v>
      </c>
      <c r="G66" s="11">
        <f>G65*$D$33</f>
        <v>299202.56</v>
      </c>
      <c r="H66" s="11">
        <f>H65*$D$33</f>
        <v>610978.63680000009</v>
      </c>
      <c r="I66" s="11">
        <f>I65*$D$33</f>
        <v>683707.99590399978</v>
      </c>
    </row>
    <row r="67" spans="1:9">
      <c r="A67" t="s">
        <v>31</v>
      </c>
      <c r="B67" s="2"/>
      <c r="C67" s="2"/>
      <c r="D67" s="2"/>
      <c r="E67" s="9">
        <f>E65-E66</f>
        <v>297600</v>
      </c>
      <c r="F67" s="9">
        <f>F65-F66</f>
        <v>-377472</v>
      </c>
      <c r="G67" s="9">
        <f>G65-G66</f>
        <v>448803.83999999991</v>
      </c>
      <c r="H67" s="9">
        <f>H65-H66</f>
        <v>916467.95520000008</v>
      </c>
      <c r="I67" s="9">
        <f>I65-I66</f>
        <v>1025561.9938559995</v>
      </c>
    </row>
    <row r="68" spans="1:9">
      <c r="A68" t="s">
        <v>32</v>
      </c>
      <c r="E68" s="7">
        <f>E64</f>
        <v>2000000</v>
      </c>
      <c r="F68" s="7">
        <f>F64</f>
        <v>3200000</v>
      </c>
      <c r="G68" s="7">
        <f>G64</f>
        <v>1900000</v>
      </c>
      <c r="H68" s="7">
        <f>H64</f>
        <v>1200000</v>
      </c>
      <c r="I68" s="7">
        <f>I64</f>
        <v>1100000</v>
      </c>
    </row>
    <row r="69" spans="1:9">
      <c r="A69" t="s">
        <v>44</v>
      </c>
      <c r="I69" s="7">
        <f>D22-(D22-D21)*D33</f>
        <v>180000</v>
      </c>
    </row>
    <row r="70" spans="1:9">
      <c r="A70" t="s">
        <v>51</v>
      </c>
      <c r="B70" s="2"/>
      <c r="C70" s="2"/>
      <c r="D70" s="10"/>
      <c r="E70" s="10"/>
      <c r="F70" s="10"/>
      <c r="G70" s="10"/>
      <c r="H70" s="10"/>
      <c r="I70" s="11">
        <f>D24-(D24-E49)*D33</f>
        <v>3240000</v>
      </c>
    </row>
    <row r="72" spans="1:9" ht="15.75" thickBot="1">
      <c r="A72" t="s">
        <v>33</v>
      </c>
      <c r="D72" s="13">
        <f>D56+D57</f>
        <v>-10200000</v>
      </c>
      <c r="E72" s="13">
        <f>E67+E68+E70</f>
        <v>2297600</v>
      </c>
      <c r="F72" s="13">
        <f>F67+F68+F70</f>
        <v>2822528</v>
      </c>
      <c r="G72" s="13">
        <f>G67+G68+G70</f>
        <v>2348803.84</v>
      </c>
      <c r="H72" s="13">
        <f>H67+H68+H70</f>
        <v>2116467.9552000002</v>
      </c>
      <c r="I72" s="13">
        <f>I67+I68+I69+I70</f>
        <v>5545561.9938559998</v>
      </c>
    </row>
    <row r="73" spans="1:9" ht="15.75" thickTop="1"/>
    <row r="74" spans="1:9">
      <c r="A74" t="s">
        <v>34</v>
      </c>
      <c r="D74" s="9">
        <f>D72</f>
        <v>-10200000</v>
      </c>
      <c r="E74" s="9">
        <f>D72+E72</f>
        <v>-7902400</v>
      </c>
      <c r="F74" s="9">
        <f>D72+E72+F72</f>
        <v>-5079872</v>
      </c>
      <c r="G74" s="9">
        <f>D72+E72+F72+G72</f>
        <v>-2731068.16</v>
      </c>
      <c r="H74" s="9">
        <f>D72+E72+F72+G72+H72</f>
        <v>-614600.20479999995</v>
      </c>
      <c r="I74" s="9">
        <f>D72+E72+F72+G72+H72+I72</f>
        <v>4930961.7890559994</v>
      </c>
    </row>
    <row r="75" spans="1:9">
      <c r="A75" t="s">
        <v>35</v>
      </c>
    </row>
    <row r="76" spans="1:9">
      <c r="D76" s="7"/>
      <c r="E76" s="7"/>
    </row>
    <row r="77" spans="1:9">
      <c r="A77" s="25" t="s">
        <v>36</v>
      </c>
      <c r="D77" s="9"/>
      <c r="E77" s="9"/>
    </row>
    <row r="78" spans="1:9">
      <c r="D78" s="5"/>
      <c r="E78" s="5"/>
    </row>
    <row r="79" spans="1:9">
      <c r="A79" t="s">
        <v>37</v>
      </c>
      <c r="E79" s="9">
        <f>NPV(D36,E72:I72)+D72</f>
        <v>875019.91231100447</v>
      </c>
    </row>
    <row r="80" spans="1:9">
      <c r="A80" t="s">
        <v>38</v>
      </c>
      <c r="D80" s="9"/>
      <c r="E80" s="5">
        <f>IRR(D72:I72,0)</f>
        <v>0.12926921133898306</v>
      </c>
    </row>
    <row r="81" spans="1:9">
      <c r="A81" t="s">
        <v>39</v>
      </c>
      <c r="E81" s="5">
        <f>RATE(5,,D72,+I72+H72*(1+D36)+G72*(1+D36)^2+F72*(1+D36)^3+E72*(1+D36)^4)</f>
        <v>0.11825681596882641</v>
      </c>
    </row>
    <row r="82" spans="1:9">
      <c r="A82" t="s">
        <v>40</v>
      </c>
      <c r="D82" s="9"/>
      <c r="E82" s="3">
        <f>IF(E74&gt;0,0+(-E74/E72),IF(F74&gt;0,1+(-E74/F72),IF(G74&gt;0,2+(-F74/G72),IF(H74&gt;0,3+(-G74/H72),IF(I74&gt;0,4+(-H74/I72),999)))))</f>
        <v>4.1108273977427219</v>
      </c>
    </row>
    <row r="83" spans="1:9" ht="15.75" thickBot="1">
      <c r="A83" s="26"/>
      <c r="B83" s="26"/>
      <c r="C83" s="26"/>
      <c r="D83" s="26"/>
      <c r="E83" s="27"/>
      <c r="F83" s="27"/>
      <c r="G83" s="27"/>
      <c r="H83" s="27"/>
      <c r="I83" s="27"/>
    </row>
    <row r="84" spans="1:9" ht="15.75" thickTop="1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I85" s="21" t="s">
        <v>41</v>
      </c>
    </row>
  </sheetData>
  <mergeCells count="1">
    <mergeCell ref="F1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CASE19</vt:lpstr>
      <vt:lpstr>Sheet1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