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autoCompressPictures="0"/>
  <mc:AlternateContent xmlns:mc="http://schemas.openxmlformats.org/markup-compatibility/2006">
    <mc:Choice Requires="x15">
      <x15ac:absPath xmlns:x15ac="http://schemas.microsoft.com/office/spreadsheetml/2010/11/ac" url="C:\Users\a.pancine\Desktop\School\Corporate Finance\"/>
    </mc:Choice>
  </mc:AlternateContent>
  <bookViews>
    <workbookView xWindow="0" yWindow="0" windowWidth="28800" windowHeight="12345" tabRatio="741"/>
  </bookViews>
  <sheets>
    <sheet name="1 Time Value of Money" sheetId="1" r:id="rId1"/>
    <sheet name="10%" sheetId="6" r:id="rId2"/>
    <sheet name="2 Stock and Bond Valuation" sheetId="2" r:id="rId3"/>
    <sheet name="3 Capital Budgeting Data" sheetId="3" r:id="rId4"/>
    <sheet name="4 Interest Rate Implications" sheetId="4" r:id="rId5"/>
    <sheet name="SUMMARY" sheetId="5" r:id="rId6"/>
  </sheets>
  <definedNames>
    <definedName name="ACCEPT">'3 Capital Budgeting Data'!$N$2:$N$3</definedName>
    <definedName name="NPV">'3 Capital Budgeting Data'!$N$2:$N$3</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D8" i="6" l="1"/>
  <c r="E8" i="6"/>
  <c r="F8" i="6"/>
  <c r="G8" i="6"/>
  <c r="H8" i="6"/>
  <c r="D11" i="6"/>
  <c r="M21" i="5"/>
  <c r="M18" i="5"/>
  <c r="F15" i="5"/>
  <c r="F14" i="5"/>
  <c r="F13" i="5"/>
  <c r="H8" i="5"/>
  <c r="G8" i="5"/>
  <c r="F8" i="5"/>
  <c r="E8" i="5"/>
  <c r="D8" i="5"/>
  <c r="M11" i="5"/>
  <c r="M10" i="5"/>
  <c r="E29" i="5"/>
  <c r="E27" i="5"/>
  <c r="E24" i="5"/>
  <c r="E22" i="5"/>
  <c r="E19" i="5"/>
  <c r="C36" i="4"/>
  <c r="D36" i="4"/>
  <c r="E36" i="4"/>
  <c r="F36" i="4"/>
  <c r="G36" i="4"/>
  <c r="C39" i="4"/>
  <c r="C23" i="4"/>
  <c r="D23" i="4"/>
  <c r="E23" i="4"/>
  <c r="F23" i="4"/>
  <c r="G23" i="4"/>
  <c r="C26" i="4"/>
  <c r="C10" i="4"/>
  <c r="D10" i="4"/>
  <c r="E10" i="4"/>
  <c r="F10" i="4"/>
  <c r="G10" i="4"/>
  <c r="C13" i="4"/>
  <c r="H8" i="1"/>
  <c r="G8" i="1"/>
  <c r="F8" i="1"/>
  <c r="E8" i="1"/>
  <c r="D8" i="1"/>
  <c r="C9" i="3"/>
  <c r="C10" i="3"/>
  <c r="C11" i="3"/>
  <c r="C12" i="3"/>
  <c r="C13" i="3"/>
  <c r="C14" i="3"/>
  <c r="D9" i="3"/>
  <c r="D10" i="3"/>
  <c r="D11" i="3"/>
  <c r="D12" i="3"/>
  <c r="D13" i="3"/>
  <c r="D14" i="3"/>
  <c r="F9" i="3"/>
  <c r="F10" i="3"/>
  <c r="F11" i="3"/>
  <c r="F12" i="3"/>
  <c r="F13" i="3"/>
  <c r="F14" i="3"/>
  <c r="G9" i="3"/>
  <c r="G10" i="3"/>
  <c r="G11" i="3"/>
  <c r="G12" i="3"/>
  <c r="G13" i="3"/>
  <c r="G14" i="3"/>
  <c r="B14" i="3"/>
  <c r="E9" i="3"/>
  <c r="E10" i="3"/>
  <c r="E11" i="3"/>
  <c r="E12" i="3"/>
  <c r="E13" i="3"/>
  <c r="E14" i="3"/>
  <c r="C19" i="3"/>
  <c r="C17" i="3"/>
  <c r="C16" i="2"/>
  <c r="C31" i="2"/>
  <c r="F9" i="2"/>
  <c r="F16" i="2"/>
  <c r="F23" i="2"/>
  <c r="D31" i="2"/>
  <c r="F8" i="2"/>
  <c r="F15" i="2"/>
  <c r="F22" i="2"/>
  <c r="D30" i="2"/>
  <c r="E31" i="2"/>
  <c r="C15" i="2"/>
  <c r="C30" i="2"/>
  <c r="F7" i="2"/>
  <c r="F14" i="2"/>
  <c r="F21" i="2"/>
  <c r="D29" i="2"/>
  <c r="E30" i="2"/>
  <c r="C14" i="2"/>
  <c r="C29" i="2"/>
  <c r="C21" i="2"/>
  <c r="D21" i="2"/>
  <c r="C22" i="2"/>
  <c r="C23" i="2"/>
  <c r="E15" i="2"/>
  <c r="E22" i="2"/>
  <c r="E16" i="2"/>
  <c r="E23" i="2"/>
  <c r="E14" i="2"/>
  <c r="E21" i="2"/>
  <c r="D14" i="2"/>
  <c r="D15" i="2"/>
  <c r="D16" i="2"/>
  <c r="D11" i="1"/>
  <c r="D22" i="2"/>
  <c r="D23" i="2"/>
</calcChain>
</file>

<file path=xl/sharedStrings.xml><?xml version="1.0" encoding="utf-8"?>
<sst xmlns="http://schemas.openxmlformats.org/spreadsheetml/2006/main" count="213" uniqueCount="134">
  <si>
    <t>Interest Rate</t>
  </si>
  <si>
    <t>FCF1</t>
  </si>
  <si>
    <t>FCF2</t>
  </si>
  <si>
    <t>FCF3</t>
  </si>
  <si>
    <t>FCF4</t>
  </si>
  <si>
    <t>FCF5</t>
  </si>
  <si>
    <t>Initial Outlay</t>
  </si>
  <si>
    <t>NPV</t>
  </si>
  <si>
    <t>IRR</t>
  </si>
  <si>
    <t>Explanations:</t>
  </si>
  <si>
    <t>Pv=FVN/(1+I)^N</t>
  </si>
  <si>
    <t>PV(I,N,0,FV)</t>
  </si>
  <si>
    <t>*In millions</t>
  </si>
  <si>
    <t xml:space="preserve"> </t>
  </si>
  <si>
    <t>Amounts*</t>
  </si>
  <si>
    <t>Total Pv*</t>
  </si>
  <si>
    <t>Pv*</t>
  </si>
  <si>
    <t>Year</t>
  </si>
  <si>
    <t>Cash Div/share ($)</t>
  </si>
  <si>
    <t>Dividend from Financial Statements:</t>
  </si>
  <si>
    <t>Dividend Yield</t>
  </si>
  <si>
    <t>2. The dividend yield if the firm doubled it's outstanding shares</t>
  </si>
  <si>
    <t>3. The rate of return on equity (i.e., the cost of stock) based on the new dividend yield you calculated above</t>
  </si>
  <si>
    <t>1. The new value of the bond if overall rates in the market increased by 5%</t>
  </si>
  <si>
    <t>2. The new value of the bond if overall rates in the market decreased by 5%</t>
  </si>
  <si>
    <t>Stock Price</t>
  </si>
  <si>
    <t>1. Stock Valuation - The new dividend yield if the company increased its dividend per share by 1.75</t>
  </si>
  <si>
    <t>Return on Investment</t>
  </si>
  <si>
    <r>
      <rPr>
        <b/>
        <sz val="12"/>
        <color theme="1"/>
        <rFont val="Calibri"/>
        <family val="2"/>
        <scheme val="minor"/>
      </rPr>
      <t>Return on Equity</t>
    </r>
    <r>
      <rPr>
        <sz val="12"/>
        <color theme="1"/>
        <rFont val="Calibri"/>
        <family val="2"/>
        <scheme val="minor"/>
      </rPr>
      <t xml:space="preserve"> - for this part we will modify and use return on investment instead. 
Using the formula: Dividend (+1.75)/+[(new price-old price)/old price]
Note - for this part, you will need extra price from 2011
</t>
    </r>
  </si>
  <si>
    <t>Stockholder's Equity (in millions)</t>
  </si>
  <si>
    <t>Stockholder's Equity (in millions) -doubled</t>
  </si>
  <si>
    <t>SUMMARY TAB</t>
  </si>
  <si>
    <t>Curent Bonds from Financial Statements</t>
  </si>
  <si>
    <t>PV</t>
  </si>
  <si>
    <t>N</t>
  </si>
  <si>
    <t>Present Value</t>
  </si>
  <si>
    <t>Periods</t>
  </si>
  <si>
    <t>Interest</t>
  </si>
  <si>
    <t>I</t>
  </si>
  <si>
    <t>Payments</t>
  </si>
  <si>
    <t>PMT</t>
  </si>
  <si>
    <t>This bond does not make regular PMT except for interest</t>
  </si>
  <si>
    <t>FV</t>
  </si>
  <si>
    <t>Future Value</t>
  </si>
  <si>
    <t>Please adjust interest</t>
  </si>
  <si>
    <t>Semi-annual payment: 2036-2016 = 20 years *2 = 40 periods</t>
  </si>
  <si>
    <t>Interest paid semi-annually: 5.875%/2 = 2.9375%</t>
  </si>
  <si>
    <t>5.875%+5% = 10.875%/2 = 5.4375%</t>
  </si>
  <si>
    <t>5.875%-5% = 0.875%/2 = 0.4375%</t>
  </si>
  <si>
    <t xml:space="preserve">3. The value of the bond if overall rates in the market stayed exactly the same </t>
  </si>
  <si>
    <t xml:space="preserve"> - identical to CURRENT BOND VALUE from Financial Statements</t>
  </si>
  <si>
    <t>FV (Future Value Calculation) - using Excel Formula</t>
  </si>
  <si>
    <t>Step 1) Select Formulas</t>
  </si>
  <si>
    <t>Step 2) Click on Financial</t>
  </si>
  <si>
    <t>Step 3) Select FV - you will see the formula below</t>
  </si>
  <si>
    <t>Step 4) Enter the following:</t>
  </si>
  <si>
    <t>Rate - enter as decimal, no % sign. Example: 4% as 0.04</t>
  </si>
  <si>
    <t>Pmt - payment. Our example does not assume regular payments disbursing principal</t>
  </si>
  <si>
    <t>Pv - Present value. Enter as negative. Example $1,000 should be -1000</t>
  </si>
  <si>
    <t>Type - leave blank</t>
  </si>
  <si>
    <t>CALCULATING FV (please see help on the right hand side)</t>
  </si>
  <si>
    <t>Nper - number of period. Enter a whole number. Example 50</t>
  </si>
  <si>
    <t xml:space="preserve">Cash Div/Share ($) </t>
  </si>
  <si>
    <t>Cash Div/Share ($) +1.75</t>
  </si>
  <si>
    <t>1. Time Value of Money</t>
  </si>
  <si>
    <t>PART II: BOND ISSUANCE</t>
  </si>
  <si>
    <t>PART I: STOCK VALUATION</t>
  </si>
  <si>
    <t>TAB 1</t>
  </si>
  <si>
    <t>TAB 2</t>
  </si>
  <si>
    <t>PART I - Stock Valuation</t>
  </si>
  <si>
    <t>PART II - Bond Issuance</t>
  </si>
  <si>
    <t>Current Bond Value</t>
  </si>
  <si>
    <t>New Value +5%</t>
  </si>
  <si>
    <t>New Value - 5%</t>
  </si>
  <si>
    <t>Capital Budgeting Example Set-up</t>
  </si>
  <si>
    <t>ACCEPT</t>
  </si>
  <si>
    <t>REJECT</t>
  </si>
  <si>
    <t xml:space="preserve"> - Operating Costs (excluding Depreciation)</t>
  </si>
  <si>
    <t xml:space="preserve"> - Depreciation Rate of 20%</t>
  </si>
  <si>
    <t>CF3: $65,500,000</t>
  </si>
  <si>
    <t>Income Tax @35%</t>
  </si>
  <si>
    <t xml:space="preserve"> - Income Tax (Rate 35%)</t>
  </si>
  <si>
    <t>After-Tax EBIT</t>
  </si>
  <si>
    <t xml:space="preserve"> + Depreciation</t>
  </si>
  <si>
    <t>Operating Income (EBIT)</t>
  </si>
  <si>
    <t>Operating Costs</t>
  </si>
  <si>
    <t>CF1</t>
  </si>
  <si>
    <t>CF2</t>
  </si>
  <si>
    <t>CF3</t>
  </si>
  <si>
    <t>CF4</t>
  </si>
  <si>
    <t>CF5</t>
  </si>
  <si>
    <t>CF1: $25,500,000</t>
  </si>
  <si>
    <t>CF2: $25,500,000</t>
  </si>
  <si>
    <t>CF3: $25,500,000</t>
  </si>
  <si>
    <t>CF4: $25,500,000</t>
  </si>
  <si>
    <t>CF5: $25,500,000</t>
  </si>
  <si>
    <t>WACC</t>
  </si>
  <si>
    <t>CF1: $50,000,000</t>
  </si>
  <si>
    <t>CF2: $45,000,000</t>
  </si>
  <si>
    <t>CF4: $55,000,00</t>
  </si>
  <si>
    <t>CF5: $25,000,000</t>
  </si>
  <si>
    <t>Cash Flow (which in this case are Sales Revenues) are as follows:</t>
  </si>
  <si>
    <t>Initial investment $65,000,000</t>
  </si>
  <si>
    <t>Straight-line Depreciation of 20%</t>
  </si>
  <si>
    <t>WACC of 8% approximately. (HD WACC was about 8.83%)</t>
  </si>
  <si>
    <t>TAB 4</t>
  </si>
  <si>
    <t>Capital Budgeting</t>
  </si>
  <si>
    <r>
      <rPr>
        <b/>
        <sz val="12"/>
        <color theme="1"/>
        <rFont val="Calibri"/>
        <family val="2"/>
        <scheme val="minor"/>
      </rPr>
      <t>WACC</t>
    </r>
    <r>
      <rPr>
        <sz val="12"/>
        <color theme="1"/>
        <rFont val="Calibri"/>
        <family val="2"/>
        <scheme val="minor"/>
      </rPr>
      <t>- why do we use WACC rate for new projects? If the project doesn’t earn more percent than WACC, the corporation should abandon the project and invest money elsewhere.</t>
    </r>
  </si>
  <si>
    <t>Explanation:</t>
  </si>
  <si>
    <r>
      <rPr>
        <b/>
        <sz val="12"/>
        <color theme="1"/>
        <rFont val="Calibri"/>
        <family val="2"/>
        <scheme val="minor"/>
      </rPr>
      <t xml:space="preserve">Initial Investment </t>
    </r>
    <r>
      <rPr>
        <sz val="12"/>
        <color theme="1"/>
        <rFont val="Calibri"/>
        <family val="2"/>
        <scheme val="minor"/>
      </rPr>
      <t>- always negative. Corporation has to invest money ("lose" it till they recover it via sales) in order to gain future benefit.</t>
    </r>
  </si>
  <si>
    <t>TAB 3</t>
  </si>
  <si>
    <t>Cash Flows</t>
  </si>
  <si>
    <t>Cash Flows (Sales)</t>
  </si>
  <si>
    <t>1. Original Scenario from Milestone 1 - Time Value of Money using 8%</t>
  </si>
  <si>
    <t xml:space="preserve">We will use Milestone 1 and Time Value of Money for Milesotne 4 analysis </t>
  </si>
  <si>
    <t>Two cases will be analyzed:</t>
  </si>
  <si>
    <t>Lower Interest Rate at 5%</t>
  </si>
  <si>
    <t>Higher Interest Rate at 15%</t>
  </si>
  <si>
    <t>2. Change in interest rate and its implications - Lower Interest Rate (5%)</t>
  </si>
  <si>
    <t>3. Change in interest rate and its implications - Higher Interest Rate (15%)</t>
  </si>
  <si>
    <t>Interest Rate Implication</t>
  </si>
  <si>
    <r>
      <rPr>
        <b/>
        <sz val="12"/>
        <color theme="1"/>
        <rFont val="Calibri"/>
        <family val="2"/>
        <scheme val="minor"/>
      </rPr>
      <t>FCF (Free Cash Flow)</t>
    </r>
    <r>
      <rPr>
        <sz val="12"/>
        <color theme="1"/>
        <rFont val="Calibri"/>
        <family val="2"/>
        <scheme val="minor"/>
      </rPr>
      <t xml:space="preserve"> is the net change in cash generated by the operations of a business during a reporting period, minus cash outlays for working capital, capital expenditures, and dividends during the same period. FCF is a strong indicator of the ability of an entity to remain in business.
Note: For this part of the Milestone, please use page 43 -capital lease payments under property. </t>
    </r>
  </si>
  <si>
    <r>
      <rPr>
        <b/>
        <sz val="12"/>
        <color theme="1"/>
        <rFont val="Calibri"/>
        <family val="2"/>
        <scheme val="minor"/>
      </rPr>
      <t xml:space="preserve">Interest Rate (given) </t>
    </r>
    <r>
      <rPr>
        <sz val="12"/>
        <color theme="1"/>
        <rFont val="Calibri"/>
        <family val="2"/>
        <scheme val="minor"/>
      </rPr>
      <t>- in our scenario we will use 8% interest rate. This rate is an implicit rate,  the average rate that lease consumers face on the current market.</t>
    </r>
  </si>
  <si>
    <r>
      <rPr>
        <b/>
        <sz val="12"/>
        <color theme="1"/>
        <rFont val="Calibri"/>
        <family val="2"/>
        <scheme val="minor"/>
      </rPr>
      <t xml:space="preserve">Cash Dividend </t>
    </r>
    <r>
      <rPr>
        <sz val="12"/>
        <color theme="1"/>
        <rFont val="Calibri"/>
        <family val="2"/>
        <scheme val="minor"/>
      </rPr>
      <t xml:space="preserve">- distribution of the corporate income. They are not expenses and do not appear on Income Statement.
Note: Part of Statement of Cash Flows.  Please be aware that corporation list 5 years worth of dividends, but only 3 years worth of dividend yields (Hint: research F-1).
</t>
    </r>
  </si>
  <si>
    <r>
      <rPr>
        <b/>
        <sz val="12"/>
        <color theme="1"/>
        <rFont val="Calibri"/>
        <family val="2"/>
        <scheme val="minor"/>
      </rPr>
      <t xml:space="preserve">Dividend Yield </t>
    </r>
    <r>
      <rPr>
        <sz val="12"/>
        <color theme="1"/>
        <rFont val="Calibri"/>
        <family val="2"/>
        <scheme val="minor"/>
      </rPr>
      <t>- annual cash dividend per share of common stock divided by the market price of a share of the common stock (Dividend yield = Annual Dividend/Current Stock Price).
Note: Current Stock Price is not part of the Financial Statements - calculated using the formula for Dividend Yield</t>
    </r>
  </si>
  <si>
    <r>
      <rPr>
        <b/>
        <sz val="12"/>
        <color theme="1"/>
        <rFont val="Calibri"/>
        <family val="2"/>
        <scheme val="minor"/>
      </rPr>
      <t>Stockholder's Equity</t>
    </r>
    <r>
      <rPr>
        <sz val="12"/>
        <color theme="1"/>
        <rFont val="Calibri"/>
        <family val="2"/>
        <scheme val="minor"/>
      </rPr>
      <t xml:space="preserve"> = Assets - Liabilities. Equity represents the ownership of a corporation. Owners are called stockholders because they hold stocks or shares of the company. The goal of every corporate manager is to generate shareholder value. </t>
    </r>
  </si>
  <si>
    <r>
      <rPr>
        <b/>
        <sz val="12"/>
        <color theme="1"/>
        <rFont val="Calibri"/>
        <family val="2"/>
        <scheme val="minor"/>
      </rPr>
      <t xml:space="preserve">Bonds </t>
    </r>
    <r>
      <rPr>
        <sz val="12"/>
        <color theme="1"/>
        <rFont val="Calibri"/>
        <family val="2"/>
        <scheme val="minor"/>
      </rPr>
      <t xml:space="preserve">are a long-term debt for corporations. In buying a bond, the bond-owner lends money to the corporation. The borrower promises to pay specified interest rate during the loan's lifetime and at the maturity, payback the entire principle.  In case of bankruptcy, bondholders have priority over stockholders for any payment distributions. 
Bonds = Debt...............Bondholders = Lenders
Stock=Equity................Stockholders = Owners
</t>
    </r>
  </si>
  <si>
    <r>
      <rPr>
        <b/>
        <sz val="12"/>
        <color theme="1"/>
        <rFont val="Calibri"/>
        <family val="2"/>
        <scheme val="minor"/>
      </rPr>
      <t>Calculation:</t>
    </r>
    <r>
      <rPr>
        <sz val="12"/>
        <color theme="1"/>
        <rFont val="Calibri"/>
        <family val="2"/>
        <scheme val="minor"/>
      </rPr>
      <t xml:space="preserve"> Please note that for bond calculations, only one bond is used and we assume February 1, 2015 is the origination date. The value on financial statements will be considered PV (Present value). Maturity date is assumed for February 2036 and payment schedule adjusted to February 1 and August 1.  
</t>
    </r>
    <r>
      <rPr>
        <b/>
        <sz val="12"/>
        <color theme="1"/>
        <rFont val="Calibri"/>
        <family val="2"/>
        <scheme val="minor"/>
      </rPr>
      <t>The following Senior-Note was used from page 44:</t>
    </r>
    <r>
      <rPr>
        <sz val="12"/>
        <color theme="1"/>
        <rFont val="Calibri"/>
        <family val="2"/>
        <scheme val="minor"/>
      </rPr>
      <t xml:space="preserve">
5.875% Senior Notes; due December 16, 2036; interest payable semi-annually on June 16 and December 16
PV (Present Value) = 2,963 million
</t>
    </r>
    <r>
      <rPr>
        <b/>
        <sz val="12"/>
        <color theme="1"/>
        <rFont val="Calibri"/>
        <family val="2"/>
        <scheme val="minor"/>
      </rPr>
      <t xml:space="preserve">Our scenario: </t>
    </r>
    <r>
      <rPr>
        <sz val="12"/>
        <color theme="1"/>
        <rFont val="Calibri"/>
        <family val="2"/>
        <scheme val="minor"/>
      </rPr>
      <t xml:space="preserve">5.875% Senior Notes; due February 1, 2036; interest payable semi-annually on February 1 and August 1
PV (Present Value) = 2,963 million
</t>
    </r>
  </si>
  <si>
    <r>
      <t xml:space="preserve">Milestone One: Time Value of Money </t>
    </r>
    <r>
      <rPr>
        <sz val="12"/>
        <color theme="1"/>
        <rFont val="Calibri"/>
        <family val="2"/>
        <scheme val="minor"/>
      </rPr>
      <t xml:space="preserve">(please fill in shaded YELLOW cells, row 6D - 6H) </t>
    </r>
  </si>
  <si>
    <r>
      <t xml:space="preserve">Milestone Two: Stock Valuation and Bond Issuance </t>
    </r>
    <r>
      <rPr>
        <sz val="12"/>
        <color theme="1"/>
        <rFont val="Calibri"/>
        <family val="2"/>
        <scheme val="minor"/>
      </rPr>
      <t>(please fill in the shaded YELLOW cells)</t>
    </r>
    <r>
      <rPr>
        <b/>
        <sz val="12"/>
        <color theme="1"/>
        <rFont val="Calibri"/>
        <family val="2"/>
        <scheme val="minor"/>
      </rPr>
      <t xml:space="preserve"> </t>
    </r>
  </si>
  <si>
    <r>
      <t xml:space="preserve">Milestone Three: Capital Budgeting Data </t>
    </r>
    <r>
      <rPr>
        <sz val="12"/>
        <color theme="1"/>
        <rFont val="Calibri"/>
        <family val="2"/>
        <scheme val="minor"/>
      </rPr>
      <t xml:space="preserve">(please fill in the shaded YELLOW cells) </t>
    </r>
  </si>
  <si>
    <t>Select from drop downs below:</t>
  </si>
  <si>
    <r>
      <t xml:space="preserve">Milestone Four: Interest Rate Implication </t>
    </r>
    <r>
      <rPr>
        <sz val="12"/>
        <color theme="1"/>
        <rFont val="Calibri"/>
        <family val="2"/>
        <scheme val="minor"/>
      </rPr>
      <t xml:space="preserve">(please fill in shaded YELLOW cells) </t>
    </r>
  </si>
  <si>
    <t>Note: This process could take up to 20 seconds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</si>
</sst>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_);[Red]\(&quot;$&quot;#,##0\)"/>
    <numFmt numFmtId="8" formatCode="&quot;$&quot;#,##0.00_);[Red]\(&quot;$&quot;#,##0.00\)"/>
    <numFmt numFmtId="43" formatCode="_(* #,##0.00_);_(* \(#,##0.00\);_(* &quot;-&quot;??_);_(@_)"/>
    <numFmt numFmtId="164" formatCode="0.00_);[Red]\(0.00\)"/>
    <numFmt numFmtId="165" formatCode="_(* #,##0_);_(* \(#,##0\);_(* &quot;-&quot;??_);_(@_)"/>
    <numFmt numFmtId="166" formatCode="&quot;$&quot;#,##0"/>
  </numFmts>
  <fonts count="13" x14ac:knownFonts="1">
    <font>
      <sz val="12"/>
      <color theme="1"/>
      <name val="Calibri"/>
      <family val="2"/>
      <scheme val="minor"/>
    </font>
    <font>
      <sz val="11"/>
      <color theme="1"/>
      <name val="Calibri"/>
      <family val="2"/>
      <scheme val="minor"/>
    </font>
    <font>
      <b/>
      <sz val="12"/>
      <color theme="1"/>
      <name val="Calibri"/>
      <family val="2"/>
      <scheme val="minor"/>
    </font>
    <font>
      <u/>
      <sz val="12"/>
      <color theme="1"/>
      <name val="Calibri"/>
      <family val="2"/>
      <scheme val="minor"/>
    </font>
    <font>
      <sz val="12"/>
      <color theme="1"/>
      <name val="Calibri"/>
      <family val="2"/>
      <scheme val="minor"/>
    </font>
    <font>
      <sz val="12"/>
      <color rgb="FFFF0000"/>
      <name val="Calibri"/>
      <family val="2"/>
      <scheme val="minor"/>
    </font>
    <font>
      <sz val="12"/>
      <name val="Calibri"/>
      <family val="2"/>
      <scheme val="minor"/>
    </font>
    <font>
      <sz val="9"/>
      <color theme="1"/>
      <name val="Calibri"/>
      <family val="2"/>
      <scheme val="minor"/>
    </font>
    <font>
      <u/>
      <sz val="12"/>
      <color theme="1"/>
      <name val="Calibri"/>
      <family val="2"/>
      <scheme val="minor"/>
    </font>
    <font>
      <sz val="12"/>
      <color theme="3" tint="0.39997558519241921"/>
      <name val="Calibri"/>
      <family val="2"/>
      <scheme val="minor"/>
    </font>
    <font>
      <sz val="12"/>
      <color rgb="FFC00000"/>
      <name val="Calibri"/>
      <family val="2"/>
      <scheme val="minor"/>
    </font>
    <font>
      <sz val="12"/>
      <color rgb="FF0000FF"/>
      <name val="Calibri"/>
      <family val="2"/>
    </font>
    <font>
      <sz val="12"/>
      <color rgb="FFFF0000"/>
      <name val="Calibri"/>
      <family val="2"/>
    </font>
  </fonts>
  <fills count="5">
    <fill>
      <patternFill patternType="none"/>
    </fill>
    <fill>
      <patternFill patternType="gray125"/>
    </fill>
    <fill>
      <patternFill patternType="solid">
        <fgColor rgb="FFFFFF00"/>
        <bgColor indexed="64"/>
      </patternFill>
    </fill>
    <fill>
      <patternFill patternType="solid">
        <fgColor theme="0" tint="-0.34998626667073579"/>
        <bgColor indexed="64"/>
      </patternFill>
    </fill>
    <fill>
      <patternFill patternType="solid">
        <fgColor theme="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43" fontId="4" fillId="0" borderId="0" applyFont="0" applyFill="0" applyBorder="0" applyAlignment="0" applyProtection="0"/>
  </cellStyleXfs>
  <cellXfs count="84">
    <xf numFmtId="0" fontId="0" fillId="0" borderId="0" xfId="0"/>
    <xf numFmtId="0" fontId="2" fillId="0" borderId="0" xfId="0" applyFont="1" applyAlignment="1"/>
    <xf numFmtId="8" fontId="0" fillId="0" borderId="0" xfId="0" applyNumberFormat="1"/>
    <xf numFmtId="0" fontId="3" fillId="0" borderId="0" xfId="0" applyFont="1"/>
    <xf numFmtId="0" fontId="0" fillId="0" borderId="0" xfId="0" applyFont="1" applyAlignment="1">
      <alignment horizontal="center" vertical="center"/>
    </xf>
    <xf numFmtId="0" fontId="0" fillId="0" borderId="0" xfId="0" applyAlignment="1">
      <alignment wrapText="1"/>
    </xf>
    <xf numFmtId="0" fontId="2" fillId="0" borderId="0" xfId="0" applyFont="1"/>
    <xf numFmtId="0" fontId="0" fillId="3" borderId="0" xfId="0" applyFill="1"/>
    <xf numFmtId="10" fontId="0" fillId="0" borderId="0" xfId="0" applyNumberFormat="1"/>
    <xf numFmtId="0" fontId="0" fillId="0" borderId="1" xfId="0" applyBorder="1"/>
    <xf numFmtId="0" fontId="0" fillId="0" borderId="1" xfId="0" applyBorder="1" applyAlignment="1">
      <alignment vertical="top" wrapText="1"/>
    </xf>
    <xf numFmtId="0" fontId="0" fillId="2" borderId="1" xfId="0" applyFill="1" applyBorder="1"/>
    <xf numFmtId="10" fontId="0" fillId="2" borderId="1" xfId="0" applyNumberFormat="1" applyFill="1" applyBorder="1"/>
    <xf numFmtId="3" fontId="0" fillId="2" borderId="1" xfId="0" applyNumberFormat="1" applyFill="1" applyBorder="1"/>
    <xf numFmtId="0" fontId="6" fillId="0" borderId="0" xfId="0" applyFont="1" applyFill="1"/>
    <xf numFmtId="0" fontId="0" fillId="0" borderId="1" xfId="0" applyFill="1" applyBorder="1"/>
    <xf numFmtId="10" fontId="0" fillId="0" borderId="1" xfId="0" applyNumberFormat="1" applyFill="1" applyBorder="1"/>
    <xf numFmtId="3" fontId="0" fillId="0" borderId="1" xfId="0" applyNumberFormat="1" applyFill="1" applyBorder="1"/>
    <xf numFmtId="0" fontId="0" fillId="0" borderId="0" xfId="0" applyFill="1" applyBorder="1" applyAlignment="1">
      <alignment vertical="top" wrapText="1"/>
    </xf>
    <xf numFmtId="0" fontId="6" fillId="0" borderId="0" xfId="0" applyFont="1" applyFill="1" applyBorder="1"/>
    <xf numFmtId="0" fontId="0" fillId="0" borderId="1" xfId="0" applyBorder="1" applyAlignment="1">
      <alignment vertical="top"/>
    </xf>
    <xf numFmtId="10" fontId="0" fillId="0" borderId="1" xfId="0" applyNumberFormat="1" applyBorder="1"/>
    <xf numFmtId="40" fontId="0" fillId="0" borderId="0" xfId="0" applyNumberFormat="1"/>
    <xf numFmtId="0" fontId="0" fillId="0" borderId="0" xfId="0" applyFont="1"/>
    <xf numFmtId="0" fontId="0" fillId="0" borderId="1" xfId="0" applyFont="1" applyBorder="1"/>
    <xf numFmtId="8" fontId="0" fillId="0" borderId="1" xfId="0" applyNumberFormat="1" applyBorder="1"/>
    <xf numFmtId="0" fontId="1" fillId="0" borderId="0" xfId="0" applyFont="1"/>
    <xf numFmtId="0" fontId="2" fillId="0" borderId="1" xfId="0" applyFont="1" applyBorder="1"/>
    <xf numFmtId="0" fontId="1" fillId="0" borderId="0" xfId="0" applyFont="1" applyFill="1" applyBorder="1"/>
    <xf numFmtId="0" fontId="1" fillId="2" borderId="0" xfId="0" applyFont="1" applyFill="1"/>
    <xf numFmtId="8" fontId="0" fillId="2" borderId="1" xfId="0" applyNumberFormat="1" applyFill="1" applyBorder="1"/>
    <xf numFmtId="6" fontId="0" fillId="0" borderId="1" xfId="0" applyNumberFormat="1" applyFill="1" applyBorder="1"/>
    <xf numFmtId="0" fontId="7" fillId="0" borderId="0" xfId="0" applyFont="1"/>
    <xf numFmtId="0" fontId="8" fillId="0" borderId="0" xfId="0" applyFont="1"/>
    <xf numFmtId="8" fontId="2" fillId="0" borderId="0" xfId="0" applyNumberFormat="1" applyFont="1"/>
    <xf numFmtId="9" fontId="2" fillId="0" borderId="0" xfId="0" applyNumberFormat="1" applyFont="1"/>
    <xf numFmtId="6" fontId="0" fillId="2" borderId="1" xfId="0" applyNumberFormat="1" applyFill="1" applyBorder="1"/>
    <xf numFmtId="6" fontId="0" fillId="0" borderId="1" xfId="1" applyNumberFormat="1" applyFont="1" applyBorder="1"/>
    <xf numFmtId="6" fontId="0" fillId="2" borderId="1" xfId="1" applyNumberFormat="1" applyFont="1" applyFill="1" applyBorder="1"/>
    <xf numFmtId="166" fontId="0" fillId="2" borderId="1" xfId="1" applyNumberFormat="1" applyFont="1" applyFill="1" applyBorder="1"/>
    <xf numFmtId="0" fontId="0" fillId="0" borderId="3" xfId="0" applyBorder="1"/>
    <xf numFmtId="165" fontId="0" fillId="0" borderId="3" xfId="1" applyNumberFormat="1" applyFont="1" applyBorder="1"/>
    <xf numFmtId="0" fontId="0" fillId="0" borderId="2" xfId="0" applyBorder="1"/>
    <xf numFmtId="165" fontId="0" fillId="0" borderId="2" xfId="1" applyNumberFormat="1" applyFont="1" applyBorder="1"/>
    <xf numFmtId="164" fontId="5" fillId="0" borderId="1" xfId="0" applyNumberFormat="1" applyFont="1" applyBorder="1"/>
    <xf numFmtId="164" fontId="0" fillId="0" borderId="1" xfId="0" applyNumberFormat="1" applyBorder="1"/>
    <xf numFmtId="40" fontId="0" fillId="0" borderId="1" xfId="0" applyNumberFormat="1" applyBorder="1"/>
    <xf numFmtId="0" fontId="0" fillId="0" borderId="4" xfId="0" applyBorder="1"/>
    <xf numFmtId="9" fontId="0" fillId="0" borderId="1" xfId="0" applyNumberFormat="1" applyBorder="1" applyAlignment="1">
      <alignment horizontal="center"/>
    </xf>
    <xf numFmtId="0" fontId="0" fillId="0" borderId="1" xfId="0" applyFont="1" applyBorder="1" applyAlignment="1">
      <alignment horizontal="center"/>
    </xf>
    <xf numFmtId="10" fontId="0" fillId="0" borderId="1" xfId="0" applyNumberFormat="1" applyFont="1" applyBorder="1"/>
    <xf numFmtId="0" fontId="0" fillId="0" borderId="4" xfId="0" applyFont="1" applyBorder="1"/>
    <xf numFmtId="0" fontId="0" fillId="0" borderId="0" xfId="0" applyBorder="1"/>
    <xf numFmtId="10" fontId="0" fillId="0" borderId="0" xfId="0" applyNumberFormat="1" applyBorder="1"/>
    <xf numFmtId="10" fontId="0" fillId="2" borderId="4" xfId="0" applyNumberFormat="1" applyFill="1" applyBorder="1"/>
    <xf numFmtId="10" fontId="0" fillId="0" borderId="4" xfId="0" applyNumberFormat="1" applyFont="1" applyFill="1" applyBorder="1"/>
    <xf numFmtId="0" fontId="9" fillId="0" borderId="0" xfId="0" applyFont="1"/>
    <xf numFmtId="0" fontId="10" fillId="0" borderId="0" xfId="0" applyFont="1"/>
    <xf numFmtId="0" fontId="2" fillId="0" borderId="1" xfId="0" applyFont="1" applyBorder="1" applyAlignment="1">
      <alignment horizontal="center"/>
    </xf>
    <xf numFmtId="0" fontId="8" fillId="0" borderId="0" xfId="0" applyFont="1" applyAlignment="1">
      <alignment horizontal="center" vertical="center" wrapText="1"/>
    </xf>
    <xf numFmtId="0" fontId="2" fillId="2" borderId="1" xfId="0" applyFont="1" applyFill="1" applyBorder="1"/>
    <xf numFmtId="0" fontId="0" fillId="0" borderId="0" xfId="0" applyAlignment="1">
      <alignment horizontal="center"/>
    </xf>
    <xf numFmtId="0" fontId="0" fillId="0" borderId="1" xfId="0" applyBorder="1" applyAlignment="1">
      <alignment horizontal="center"/>
    </xf>
    <xf numFmtId="6" fontId="0" fillId="2" borderId="1" xfId="0" applyNumberFormat="1" applyFill="1" applyBorder="1" applyAlignment="1">
      <alignment horizontal="center"/>
    </xf>
    <xf numFmtId="6" fontId="0" fillId="0" borderId="1" xfId="1" applyNumberFormat="1" applyFont="1" applyBorder="1" applyAlignment="1">
      <alignment horizontal="center"/>
    </xf>
    <xf numFmtId="0" fontId="0" fillId="0" borderId="2" xfId="0" applyBorder="1" applyAlignment="1">
      <alignment horizontal="center"/>
    </xf>
    <xf numFmtId="0" fontId="0" fillId="0" borderId="3" xfId="0" applyBorder="1" applyAlignment="1">
      <alignment horizontal="center"/>
    </xf>
    <xf numFmtId="6" fontId="0" fillId="0" borderId="3" xfId="1" applyNumberFormat="1" applyFont="1" applyBorder="1" applyAlignment="1">
      <alignment horizontal="center"/>
    </xf>
    <xf numFmtId="9" fontId="0" fillId="2" borderId="1" xfId="0" applyNumberFormat="1" applyFill="1" applyBorder="1" applyAlignment="1">
      <alignment horizontal="left"/>
    </xf>
    <xf numFmtId="0" fontId="2" fillId="0" borderId="0" xfId="0" applyFont="1" applyAlignment="1">
      <alignment horizontal="right"/>
    </xf>
    <xf numFmtId="0" fontId="2" fillId="0" borderId="0" xfId="0" applyFont="1" applyFill="1" applyAlignment="1">
      <alignment horizontal="right"/>
    </xf>
    <xf numFmtId="10" fontId="0" fillId="2" borderId="1" xfId="0" applyNumberFormat="1" applyFill="1" applyBorder="1" applyAlignment="1">
      <alignment vertical="center"/>
    </xf>
    <xf numFmtId="0" fontId="0" fillId="0" borderId="1" xfId="0" applyBorder="1" applyAlignment="1">
      <alignment horizontal="center" vertical="top"/>
    </xf>
    <xf numFmtId="8" fontId="0" fillId="4" borderId="0" xfId="0" applyNumberFormat="1" applyFill="1" applyProtection="1">
      <protection locked="0" hidden="1"/>
    </xf>
    <xf numFmtId="0" fontId="0" fillId="4" borderId="0" xfId="0" applyFill="1" applyProtection="1">
      <protection locked="0" hidden="1"/>
    </xf>
    <xf numFmtId="8" fontId="2" fillId="4" borderId="0" xfId="0" applyNumberFormat="1" applyFont="1" applyFill="1" applyProtection="1">
      <protection locked="0" hidden="1"/>
    </xf>
    <xf numFmtId="9" fontId="2" fillId="4" borderId="0" xfId="0" applyNumberFormat="1" applyFont="1" applyFill="1" applyProtection="1">
      <protection locked="0" hidden="1"/>
    </xf>
    <xf numFmtId="0" fontId="0" fillId="0" borderId="0" xfId="0" applyAlignment="1">
      <alignment vertical="top" wrapText="1"/>
    </xf>
    <xf numFmtId="0" fontId="0" fillId="0" borderId="0" xfId="0" applyAlignment="1">
      <alignment wrapText="1"/>
    </xf>
    <xf numFmtId="2" fontId="0" fillId="0" borderId="0" xfId="0" applyNumberFormat="1" applyFont="1" applyAlignment="1">
      <alignment wrapText="1"/>
    </xf>
    <xf numFmtId="0" fontId="2" fillId="0" borderId="0" xfId="0" applyFont="1" applyAlignment="1">
      <alignment horizontal="left" wrapText="1"/>
    </xf>
    <xf numFmtId="0" fontId="2" fillId="0" borderId="0" xfId="0" applyFont="1" applyAlignment="1">
      <alignment horizontal="left"/>
    </xf>
    <xf numFmtId="0" fontId="0" fillId="0" borderId="0" xfId="0" applyAlignment="1">
      <alignment horizontal="left"/>
    </xf>
    <xf numFmtId="0" fontId="0" fillId="0" borderId="0" xfId="0" applyAlignment="1">
      <alignment horizontal="left" vertical="top" wrapText="1"/>
    </xf>
  </cellXfs>
  <cellStyles count="2">
    <cellStyle name="Comma" xfId="1" builtinId="3"/>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152400</xdr:colOff>
      <xdr:row>57</xdr:row>
      <xdr:rowOff>45720</xdr:rowOff>
    </xdr:from>
    <xdr:to>
      <xdr:col>15</xdr:col>
      <xdr:colOff>636905</xdr:colOff>
      <xdr:row>65</xdr:row>
      <xdr:rowOff>175260</xdr:rowOff>
    </xdr:to>
    <xdr:pic>
      <xdr:nvPicPr>
        <xdr:cNvPr id="4" name="Picture 3"/>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20100" y="13121640"/>
          <a:ext cx="4675505" cy="17145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828675</xdr:colOff>
          <xdr:row>0</xdr:row>
          <xdr:rowOff>19050</xdr:rowOff>
        </xdr:from>
        <xdr:to>
          <xdr:col>5</xdr:col>
          <xdr:colOff>647700</xdr:colOff>
          <xdr:row>1</xdr:row>
          <xdr:rowOff>133350</xdr:rowOff>
        </xdr:to>
        <xdr:sp macro="" textlink="">
          <xdr:nvSpPr>
            <xdr:cNvPr id="5124" name="Button 4" hidden="1">
              <a:extLst>
                <a:ext uri="{63B3BB69-23CF-44E3-9099-C40C66FF867C}">
                  <a14:compatExt spid="_x0000_s5124"/>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200" b="0" i="0" u="none" strike="noStrike" baseline="0">
                  <a:solidFill>
                    <a:srgbClr val="0000FF"/>
                  </a:solidFill>
                  <a:latin typeface="Calibri"/>
                </a:rPr>
                <a:t>RUN Summary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0</xdr:row>
          <xdr:rowOff>85725</xdr:rowOff>
        </xdr:from>
        <xdr:to>
          <xdr:col>13</xdr:col>
          <xdr:colOff>219075</xdr:colOff>
          <xdr:row>1</xdr:row>
          <xdr:rowOff>133350</xdr:rowOff>
        </xdr:to>
        <xdr:sp macro="" textlink="">
          <xdr:nvSpPr>
            <xdr:cNvPr id="5126" name="Button 6" hidden="1">
              <a:extLst>
                <a:ext uri="{63B3BB69-23CF-44E3-9099-C40C66FF867C}">
                  <a14:compatExt spid="_x0000_s5126"/>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200" b="0" i="0" u="none" strike="noStrike" baseline="0">
                  <a:solidFill>
                    <a:srgbClr val="FF0000"/>
                  </a:solidFill>
                  <a:latin typeface="Calibri"/>
                </a:rPr>
                <a:t>CLEAR DATA</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P17"/>
  <sheetViews>
    <sheetView tabSelected="1" workbookViewId="0">
      <selection activeCell="F29" sqref="F29"/>
    </sheetView>
  </sheetViews>
  <sheetFormatPr defaultColWidth="11" defaultRowHeight="15.75" x14ac:dyDescent="0.25"/>
  <cols>
    <col min="1" max="1" width="6.625" customWidth="1"/>
    <col min="2" max="2" width="13.375" customWidth="1"/>
    <col min="3" max="3" width="5.625" customWidth="1"/>
    <col min="8" max="8" width="12.25" customWidth="1"/>
    <col min="9" max="9" width="6.625" customWidth="1"/>
    <col min="10" max="10" width="3.625" style="7" customWidth="1"/>
  </cols>
  <sheetData>
    <row r="1" spans="1:16" x14ac:dyDescent="0.25">
      <c r="A1" s="1" t="s">
        <v>128</v>
      </c>
      <c r="B1" s="1"/>
      <c r="K1" s="6" t="s">
        <v>9</v>
      </c>
    </row>
    <row r="3" spans="1:16" x14ac:dyDescent="0.25">
      <c r="B3" s="58" t="s">
        <v>0</v>
      </c>
      <c r="C3" s="48">
        <v>0.08</v>
      </c>
      <c r="K3" s="77" t="s">
        <v>121</v>
      </c>
      <c r="L3" s="77"/>
      <c r="M3" s="77"/>
      <c r="N3" s="77"/>
      <c r="O3" s="77"/>
      <c r="P3" s="77"/>
    </row>
    <row r="4" spans="1:16" x14ac:dyDescent="0.25">
      <c r="B4" s="23"/>
      <c r="K4" s="77"/>
      <c r="L4" s="77"/>
      <c r="M4" s="77"/>
      <c r="N4" s="77"/>
      <c r="O4" s="77"/>
      <c r="P4" s="77"/>
    </row>
    <row r="5" spans="1:16" x14ac:dyDescent="0.25">
      <c r="B5" s="24"/>
      <c r="C5" s="9"/>
      <c r="D5" s="49" t="s">
        <v>1</v>
      </c>
      <c r="E5" s="49" t="s">
        <v>2</v>
      </c>
      <c r="F5" s="49" t="s">
        <v>3</v>
      </c>
      <c r="G5" s="49" t="s">
        <v>4</v>
      </c>
      <c r="H5" s="49" t="s">
        <v>5</v>
      </c>
      <c r="K5" s="77"/>
      <c r="L5" s="77"/>
      <c r="M5" s="77"/>
      <c r="N5" s="77"/>
      <c r="O5" s="77"/>
      <c r="P5" s="77"/>
    </row>
    <row r="6" spans="1:16" x14ac:dyDescent="0.25">
      <c r="B6" s="27" t="s">
        <v>14</v>
      </c>
      <c r="C6" s="9"/>
      <c r="D6" s="11">
        <v>113</v>
      </c>
      <c r="E6" s="11">
        <v>111</v>
      </c>
      <c r="F6" s="11">
        <v>108</v>
      </c>
      <c r="G6" s="11">
        <v>101</v>
      </c>
      <c r="H6" s="11">
        <v>97</v>
      </c>
      <c r="K6" s="77"/>
      <c r="L6" s="77"/>
      <c r="M6" s="77"/>
      <c r="N6" s="77"/>
      <c r="O6" s="77"/>
      <c r="P6" s="77"/>
    </row>
    <row r="7" spans="1:16" x14ac:dyDescent="0.25">
      <c r="B7" s="24"/>
      <c r="C7" s="9"/>
      <c r="D7" s="9"/>
      <c r="E7" s="9"/>
      <c r="F7" s="9"/>
      <c r="G7" s="9"/>
      <c r="H7" s="9"/>
      <c r="K7" s="77"/>
      <c r="L7" s="77"/>
      <c r="M7" s="77"/>
      <c r="N7" s="77"/>
      <c r="O7" s="77"/>
      <c r="P7" s="77"/>
    </row>
    <row r="8" spans="1:16" x14ac:dyDescent="0.25">
      <c r="B8" s="27" t="s">
        <v>16</v>
      </c>
      <c r="C8" s="9"/>
      <c r="D8" s="44">
        <f>PV(C3,1,,D6)</f>
        <v>-104.62962962962962</v>
      </c>
      <c r="E8" s="25">
        <f>PV(C3,2,,E6)</f>
        <v>-95.164609053497941</v>
      </c>
      <c r="F8" s="25">
        <f>PV(C3,3,,F6)</f>
        <v>-85.733882030178322</v>
      </c>
      <c r="G8" s="25">
        <f>PV(C3,4,,G6)</f>
        <v>-74.238015132441774</v>
      </c>
      <c r="H8" s="25">
        <f>PV(C3,5,,H6)</f>
        <v>-66.016570112274039</v>
      </c>
      <c r="I8" s="2"/>
      <c r="K8" s="78"/>
      <c r="L8" s="78"/>
      <c r="M8" s="78"/>
      <c r="N8" s="78"/>
      <c r="O8" s="78"/>
      <c r="P8" s="78"/>
    </row>
    <row r="9" spans="1:16" x14ac:dyDescent="0.25">
      <c r="B9" s="24"/>
      <c r="C9" s="9"/>
      <c r="D9" s="45"/>
      <c r="E9" s="9" t="s">
        <v>13</v>
      </c>
      <c r="F9" s="9"/>
      <c r="G9" s="9"/>
      <c r="H9" s="9"/>
      <c r="K9" s="78"/>
      <c r="L9" s="78"/>
      <c r="M9" s="78"/>
      <c r="N9" s="78"/>
      <c r="O9" s="78"/>
      <c r="P9" s="78"/>
    </row>
    <row r="10" spans="1:16" x14ac:dyDescent="0.25">
      <c r="B10" s="24"/>
      <c r="C10" s="9"/>
      <c r="D10" s="45"/>
      <c r="E10" s="9"/>
      <c r="F10" s="9"/>
      <c r="G10" s="9"/>
      <c r="H10" s="9"/>
      <c r="K10" s="78"/>
      <c r="L10" s="78"/>
      <c r="M10" s="78"/>
      <c r="N10" s="78"/>
      <c r="O10" s="78"/>
      <c r="P10" s="78"/>
    </row>
    <row r="11" spans="1:16" x14ac:dyDescent="0.25">
      <c r="B11" s="27" t="s">
        <v>15</v>
      </c>
      <c r="C11" s="9"/>
      <c r="D11" s="45">
        <f>SUM(D8:H8)</f>
        <v>-425.78270595802172</v>
      </c>
      <c r="E11" s="25"/>
      <c r="F11" s="9"/>
      <c r="G11" s="9"/>
      <c r="H11" s="9"/>
    </row>
    <row r="12" spans="1:16" x14ac:dyDescent="0.25">
      <c r="B12" t="s">
        <v>12</v>
      </c>
      <c r="K12" s="79" t="s">
        <v>122</v>
      </c>
      <c r="L12" s="79"/>
      <c r="M12" s="79"/>
      <c r="N12" s="79"/>
      <c r="O12" s="79"/>
      <c r="P12" s="79"/>
    </row>
    <row r="13" spans="1:16" x14ac:dyDescent="0.25">
      <c r="F13" s="2"/>
      <c r="K13" s="79"/>
      <c r="L13" s="79"/>
      <c r="M13" s="79"/>
      <c r="N13" s="79"/>
      <c r="O13" s="79"/>
      <c r="P13" s="79"/>
    </row>
    <row r="14" spans="1:16" x14ac:dyDescent="0.25">
      <c r="K14" s="79"/>
      <c r="L14" s="79"/>
      <c r="M14" s="79"/>
      <c r="N14" s="79"/>
      <c r="O14" s="79"/>
      <c r="P14" s="79"/>
    </row>
    <row r="15" spans="1:16" x14ac:dyDescent="0.25">
      <c r="K15" s="79"/>
      <c r="L15" s="79"/>
      <c r="M15" s="79"/>
      <c r="N15" s="79"/>
      <c r="O15" s="79"/>
      <c r="P15" s="79"/>
    </row>
    <row r="17" spans="3:5" x14ac:dyDescent="0.25">
      <c r="C17" t="s">
        <v>10</v>
      </c>
      <c r="E17" t="s">
        <v>11</v>
      </c>
    </row>
  </sheetData>
  <sheetProtection algorithmName="SHA-512" hashValue="tp2inOAfQkJMSUfQUmYexqdCNx5FwyO+YcEmOy6NubDLtyq9OD+IOCjtv6KgSviu95eydpAN9Gu1BcUnU3nf3A==" saltValue="5p7Qi9msveCSSLQcIYO1CQ==" spinCount="100000" sheet="1" objects="1" scenarios="1"/>
  <protectedRanges>
    <protectedRange sqref="D6:H6" name="FreeCashFlow"/>
  </protectedRanges>
  <mergeCells count="2">
    <mergeCell ref="K3:P10"/>
    <mergeCell ref="K12:P15"/>
  </mergeCells>
  <pageMargins left="0.75" right="0.75" top="1" bottom="1" header="0.5" footer="0.5"/>
  <pageSetup orientation="portrait"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workbookViewId="0">
      <selection activeCell="F27" sqref="F27"/>
    </sheetView>
  </sheetViews>
  <sheetFormatPr defaultRowHeight="15.75" x14ac:dyDescent="0.25"/>
  <cols>
    <col min="2" max="2" width="11.875" bestFit="1" customWidth="1"/>
  </cols>
  <sheetData>
    <row r="1" spans="1:8" x14ac:dyDescent="0.25">
      <c r="A1" s="1" t="s">
        <v>128</v>
      </c>
      <c r="B1" s="1"/>
    </row>
    <row r="3" spans="1:8" x14ac:dyDescent="0.25">
      <c r="B3" s="58" t="s">
        <v>0</v>
      </c>
      <c r="C3" s="48">
        <v>0.1</v>
      </c>
    </row>
    <row r="4" spans="1:8" x14ac:dyDescent="0.25">
      <c r="B4" s="23"/>
    </row>
    <row r="5" spans="1:8" x14ac:dyDescent="0.25">
      <c r="B5" s="24"/>
      <c r="C5" s="9"/>
      <c r="D5" s="49" t="s">
        <v>1</v>
      </c>
      <c r="E5" s="49" t="s">
        <v>2</v>
      </c>
      <c r="F5" s="49" t="s">
        <v>3</v>
      </c>
      <c r="G5" s="49" t="s">
        <v>4</v>
      </c>
      <c r="H5" s="49" t="s">
        <v>5</v>
      </c>
    </row>
    <row r="6" spans="1:8" x14ac:dyDescent="0.25">
      <c r="B6" s="27" t="s">
        <v>14</v>
      </c>
      <c r="C6" s="9"/>
      <c r="D6" s="11">
        <v>113</v>
      </c>
      <c r="E6" s="11">
        <v>111</v>
      </c>
      <c r="F6" s="11">
        <v>108</v>
      </c>
      <c r="G6" s="11">
        <v>101</v>
      </c>
      <c r="H6" s="11">
        <v>97</v>
      </c>
    </row>
    <row r="7" spans="1:8" x14ac:dyDescent="0.25">
      <c r="B7" s="24"/>
      <c r="C7" s="9"/>
      <c r="D7" s="9"/>
      <c r="E7" s="9"/>
      <c r="F7" s="9"/>
      <c r="G7" s="9"/>
      <c r="H7" s="9"/>
    </row>
    <row r="8" spans="1:8" x14ac:dyDescent="0.25">
      <c r="B8" s="27" t="s">
        <v>16</v>
      </c>
      <c r="C8" s="9"/>
      <c r="D8" s="44">
        <f>PV(C3,1,,D6)</f>
        <v>-102.72727272727272</v>
      </c>
      <c r="E8" s="25">
        <f>PV(C3,2,,E6)</f>
        <v>-91.735537190082624</v>
      </c>
      <c r="F8" s="25">
        <f>PV(C3,3,,F6)</f>
        <v>-81.141998497370381</v>
      </c>
      <c r="G8" s="25">
        <f>PV(C3,4,,G6)</f>
        <v>-68.984358991872128</v>
      </c>
      <c r="H8" s="25">
        <f>PV(C3,5,,H6)</f>
        <v>-60.229368336738034</v>
      </c>
    </row>
    <row r="9" spans="1:8" x14ac:dyDescent="0.25">
      <c r="B9" s="24"/>
      <c r="C9" s="9"/>
      <c r="D9" s="45"/>
      <c r="E9" s="9" t="s">
        <v>13</v>
      </c>
      <c r="F9" s="9"/>
      <c r="G9" s="9"/>
      <c r="H9" s="9"/>
    </row>
    <row r="10" spans="1:8" x14ac:dyDescent="0.25">
      <c r="B10" s="24"/>
      <c r="C10" s="9"/>
      <c r="D10" s="45"/>
      <c r="E10" s="9"/>
      <c r="F10" s="9"/>
      <c r="G10" s="9"/>
      <c r="H10" s="9"/>
    </row>
    <row r="11" spans="1:8" x14ac:dyDescent="0.25">
      <c r="B11" s="27" t="s">
        <v>15</v>
      </c>
      <c r="C11" s="9"/>
      <c r="D11" s="45">
        <f>SUM(D8:H8)</f>
        <v>-404.81853574333587</v>
      </c>
      <c r="E11" s="25"/>
      <c r="F11" s="9"/>
      <c r="G11" s="9"/>
      <c r="H11" s="9"/>
    </row>
    <row r="12" spans="1:8" x14ac:dyDescent="0.25">
      <c r="B12" t="s">
        <v>12</v>
      </c>
    </row>
    <row r="13" spans="1:8" x14ac:dyDescent="0.25">
      <c r="F13" s="2"/>
    </row>
  </sheetData>
  <protectedRanges>
    <protectedRange sqref="D6:H6" name="FreeCashFlow"/>
  </protectedRange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Q62"/>
  <sheetViews>
    <sheetView workbookViewId="0">
      <selection activeCell="C7" sqref="C7"/>
    </sheetView>
  </sheetViews>
  <sheetFormatPr defaultColWidth="11" defaultRowHeight="15.75" x14ac:dyDescent="0.25"/>
  <cols>
    <col min="1" max="1" width="9" customWidth="1"/>
    <col min="2" max="2" width="12.625" customWidth="1"/>
    <col min="3" max="3" width="12.5" customWidth="1"/>
    <col min="5" max="5" width="16.625" customWidth="1"/>
    <col min="6" max="6" width="12.625" customWidth="1"/>
    <col min="9" max="9" width="6.625" customWidth="1"/>
    <col min="10" max="10" width="4.125" style="7" customWidth="1"/>
  </cols>
  <sheetData>
    <row r="1" spans="1:17" x14ac:dyDescent="0.25">
      <c r="A1" s="80" t="s">
        <v>129</v>
      </c>
      <c r="B1" s="80"/>
      <c r="C1" s="80"/>
      <c r="D1" s="80"/>
      <c r="E1" s="78"/>
      <c r="F1" s="78"/>
      <c r="G1" s="78"/>
      <c r="K1" s="6" t="s">
        <v>9</v>
      </c>
    </row>
    <row r="2" spans="1:17" x14ac:dyDescent="0.25">
      <c r="K2" s="77" t="s">
        <v>123</v>
      </c>
      <c r="L2" s="77"/>
      <c r="M2" s="77"/>
      <c r="N2" s="77"/>
      <c r="O2" s="77"/>
      <c r="P2" s="77"/>
      <c r="Q2" s="77"/>
    </row>
    <row r="3" spans="1:17" x14ac:dyDescent="0.25">
      <c r="A3" s="6" t="s">
        <v>66</v>
      </c>
      <c r="B3" s="6"/>
      <c r="K3" s="77"/>
      <c r="L3" s="77"/>
      <c r="M3" s="77"/>
      <c r="N3" s="77"/>
      <c r="O3" s="77"/>
      <c r="P3" s="77"/>
      <c r="Q3" s="77"/>
    </row>
    <row r="4" spans="1:17" x14ac:dyDescent="0.25">
      <c r="B4" t="s">
        <v>19</v>
      </c>
      <c r="K4" s="77"/>
      <c r="L4" s="77"/>
      <c r="M4" s="77"/>
      <c r="N4" s="77"/>
      <c r="O4" s="77"/>
      <c r="P4" s="77"/>
      <c r="Q4" s="77"/>
    </row>
    <row r="5" spans="1:17" x14ac:dyDescent="0.25">
      <c r="K5" s="77"/>
      <c r="L5" s="77"/>
      <c r="M5" s="77"/>
      <c r="N5" s="77"/>
      <c r="O5" s="77"/>
      <c r="P5" s="77"/>
      <c r="Q5" s="77"/>
    </row>
    <row r="6" spans="1:17" ht="36" customHeight="1" x14ac:dyDescent="0.25">
      <c r="B6" s="72" t="s">
        <v>17</v>
      </c>
      <c r="C6" s="10" t="s">
        <v>18</v>
      </c>
      <c r="D6" s="10" t="s">
        <v>20</v>
      </c>
      <c r="E6" s="10" t="s">
        <v>29</v>
      </c>
      <c r="F6" s="10" t="s">
        <v>25</v>
      </c>
      <c r="K6" s="77" t="s">
        <v>124</v>
      </c>
      <c r="L6" s="77"/>
      <c r="M6" s="77"/>
      <c r="N6" s="77"/>
      <c r="O6" s="77"/>
      <c r="P6" s="77"/>
      <c r="Q6" s="77"/>
    </row>
    <row r="7" spans="1:17" x14ac:dyDescent="0.25">
      <c r="B7" s="9">
        <v>2012</v>
      </c>
      <c r="C7" s="11"/>
      <c r="D7" s="12"/>
      <c r="E7" s="13"/>
      <c r="F7" s="9" t="e">
        <f t="shared" ref="F7:F8" si="0">(C7/(D7/100))/100</f>
        <v>#DIV/0!</v>
      </c>
      <c r="K7" s="77"/>
      <c r="L7" s="77"/>
      <c r="M7" s="77"/>
      <c r="N7" s="77"/>
      <c r="O7" s="77"/>
      <c r="P7" s="77"/>
      <c r="Q7" s="77"/>
    </row>
    <row r="8" spans="1:17" x14ac:dyDescent="0.25">
      <c r="B8" s="9">
        <v>2013</v>
      </c>
      <c r="C8" s="11"/>
      <c r="D8" s="12"/>
      <c r="E8" s="13"/>
      <c r="F8" s="9" t="e">
        <f t="shared" si="0"/>
        <v>#DIV/0!</v>
      </c>
      <c r="K8" s="77"/>
      <c r="L8" s="77"/>
      <c r="M8" s="77"/>
      <c r="N8" s="77"/>
      <c r="O8" s="77"/>
      <c r="P8" s="77"/>
      <c r="Q8" s="77"/>
    </row>
    <row r="9" spans="1:17" x14ac:dyDescent="0.25">
      <c r="B9" s="9">
        <v>2014</v>
      </c>
      <c r="C9" s="11"/>
      <c r="D9" s="12"/>
      <c r="E9" s="13"/>
      <c r="F9" s="9" t="e">
        <f>(C9/(D9/100))/100</f>
        <v>#DIV/0!</v>
      </c>
      <c r="K9" s="77"/>
      <c r="L9" s="77"/>
      <c r="M9" s="77"/>
      <c r="N9" s="77"/>
      <c r="O9" s="77"/>
      <c r="P9" s="77"/>
      <c r="Q9" s="77"/>
    </row>
    <row r="10" spans="1:17" x14ac:dyDescent="0.25">
      <c r="K10" s="77"/>
      <c r="L10" s="77"/>
      <c r="M10" s="77"/>
      <c r="N10" s="77"/>
      <c r="O10" s="77"/>
      <c r="P10" s="77"/>
      <c r="Q10" s="77"/>
    </row>
    <row r="11" spans="1:17" x14ac:dyDescent="0.25">
      <c r="A11" t="s">
        <v>26</v>
      </c>
      <c r="K11" s="77"/>
      <c r="L11" s="77"/>
      <c r="M11" s="77"/>
      <c r="N11" s="77"/>
      <c r="O11" s="77"/>
      <c r="P11" s="77"/>
      <c r="Q11" s="77"/>
    </row>
    <row r="13" spans="1:17" ht="46.15" customHeight="1" x14ac:dyDescent="0.25">
      <c r="B13" s="72" t="s">
        <v>17</v>
      </c>
      <c r="C13" s="10" t="s">
        <v>63</v>
      </c>
      <c r="D13" s="10" t="s">
        <v>20</v>
      </c>
      <c r="E13" s="10" t="s">
        <v>29</v>
      </c>
      <c r="F13" s="10" t="s">
        <v>25</v>
      </c>
      <c r="G13" s="18"/>
      <c r="K13" s="77" t="s">
        <v>125</v>
      </c>
      <c r="L13" s="77"/>
      <c r="M13" s="77"/>
      <c r="N13" s="77"/>
      <c r="O13" s="77"/>
      <c r="P13" s="77"/>
      <c r="Q13" s="77"/>
    </row>
    <row r="14" spans="1:17" x14ac:dyDescent="0.25">
      <c r="B14" s="9">
        <v>2012</v>
      </c>
      <c r="C14" s="15">
        <f>C7+1.75</f>
        <v>1.75</v>
      </c>
      <c r="D14" s="16" t="e">
        <f>C14/F14</f>
        <v>#DIV/0!</v>
      </c>
      <c r="E14" s="17">
        <f t="shared" ref="E14:F16" si="1">E7</f>
        <v>0</v>
      </c>
      <c r="F14" s="9" t="e">
        <f t="shared" si="1"/>
        <v>#DIV/0!</v>
      </c>
      <c r="G14" s="19"/>
      <c r="K14" s="77"/>
      <c r="L14" s="77"/>
      <c r="M14" s="77"/>
      <c r="N14" s="77"/>
      <c r="O14" s="77"/>
      <c r="P14" s="77"/>
      <c r="Q14" s="77"/>
    </row>
    <row r="15" spans="1:17" x14ac:dyDescent="0.25">
      <c r="B15" s="9">
        <v>2013</v>
      </c>
      <c r="C15" s="15">
        <f>C8+1.75</f>
        <v>1.75</v>
      </c>
      <c r="D15" s="16" t="e">
        <f t="shared" ref="D15:D16" si="2">C15/F15</f>
        <v>#DIV/0!</v>
      </c>
      <c r="E15" s="17">
        <f t="shared" si="1"/>
        <v>0</v>
      </c>
      <c r="F15" s="9" t="e">
        <f t="shared" si="1"/>
        <v>#DIV/0!</v>
      </c>
      <c r="G15" s="19"/>
      <c r="K15" s="77"/>
      <c r="L15" s="77"/>
      <c r="M15" s="77"/>
      <c r="N15" s="77"/>
      <c r="O15" s="77"/>
      <c r="P15" s="77"/>
      <c r="Q15" s="77"/>
    </row>
    <row r="16" spans="1:17" x14ac:dyDescent="0.25">
      <c r="B16" s="9">
        <v>2014</v>
      </c>
      <c r="C16" s="15">
        <f>C9+1.75</f>
        <v>1.75</v>
      </c>
      <c r="D16" s="16" t="e">
        <f t="shared" si="2"/>
        <v>#DIV/0!</v>
      </c>
      <c r="E16" s="17">
        <f t="shared" si="1"/>
        <v>0</v>
      </c>
      <c r="F16" s="9" t="e">
        <f t="shared" si="1"/>
        <v>#DIV/0!</v>
      </c>
      <c r="G16" s="19"/>
    </row>
    <row r="17" spans="1:17" x14ac:dyDescent="0.25">
      <c r="B17" s="14"/>
      <c r="C17" s="14"/>
      <c r="D17" s="14"/>
      <c r="E17" s="14"/>
      <c r="F17" s="14"/>
      <c r="G17" s="14"/>
    </row>
    <row r="18" spans="1:17" x14ac:dyDescent="0.25">
      <c r="A18" t="s">
        <v>21</v>
      </c>
      <c r="K18" s="77" t="s">
        <v>28</v>
      </c>
      <c r="L18" s="77"/>
      <c r="M18" s="77"/>
      <c r="N18" s="77"/>
      <c r="O18" s="77"/>
      <c r="P18" s="77"/>
      <c r="Q18" s="77"/>
    </row>
    <row r="19" spans="1:17" x14ac:dyDescent="0.25">
      <c r="K19" s="77"/>
      <c r="L19" s="77"/>
      <c r="M19" s="77"/>
      <c r="N19" s="77"/>
      <c r="O19" s="77"/>
      <c r="P19" s="77"/>
      <c r="Q19" s="77"/>
    </row>
    <row r="20" spans="1:17" ht="49.9" customHeight="1" x14ac:dyDescent="0.25">
      <c r="A20" s="5"/>
      <c r="B20" s="72" t="s">
        <v>17</v>
      </c>
      <c r="C20" s="10" t="s">
        <v>62</v>
      </c>
      <c r="D20" s="10" t="s">
        <v>20</v>
      </c>
      <c r="E20" s="10" t="s">
        <v>30</v>
      </c>
      <c r="F20" s="10" t="s">
        <v>25</v>
      </c>
      <c r="K20" s="77"/>
      <c r="L20" s="77"/>
      <c r="M20" s="77"/>
      <c r="N20" s="77"/>
      <c r="O20" s="77"/>
      <c r="P20" s="77"/>
      <c r="Q20" s="77"/>
    </row>
    <row r="21" spans="1:17" x14ac:dyDescent="0.25">
      <c r="A21" s="5"/>
      <c r="B21" s="9">
        <v>2012</v>
      </c>
      <c r="C21" s="15">
        <f>C7/2</f>
        <v>0</v>
      </c>
      <c r="D21" s="16" t="e">
        <f t="shared" ref="D21:D23" si="3">C21/F21</f>
        <v>#DIV/0!</v>
      </c>
      <c r="E21" s="17">
        <f>E14*2</f>
        <v>0</v>
      </c>
      <c r="F21" s="9" t="e">
        <f>F14</f>
        <v>#DIV/0!</v>
      </c>
      <c r="I21" s="4"/>
      <c r="K21" s="77"/>
      <c r="L21" s="77"/>
      <c r="M21" s="77"/>
      <c r="N21" s="77"/>
      <c r="O21" s="77"/>
      <c r="P21" s="77"/>
      <c r="Q21" s="77"/>
    </row>
    <row r="22" spans="1:17" x14ac:dyDescent="0.25">
      <c r="A22" s="5"/>
      <c r="B22" s="9">
        <v>2013</v>
      </c>
      <c r="C22" s="15">
        <f>C8/2</f>
        <v>0</v>
      </c>
      <c r="D22" s="16" t="e">
        <f t="shared" si="3"/>
        <v>#DIV/0!</v>
      </c>
      <c r="E22" s="17">
        <f>E15*2</f>
        <v>0</v>
      </c>
      <c r="F22" s="15" t="e">
        <f>F15</f>
        <v>#DIV/0!</v>
      </c>
      <c r="I22" s="4"/>
      <c r="K22" s="77"/>
      <c r="L22" s="77"/>
      <c r="M22" s="77"/>
      <c r="N22" s="77"/>
      <c r="O22" s="77"/>
      <c r="P22" s="77"/>
      <c r="Q22" s="77"/>
    </row>
    <row r="23" spans="1:17" x14ac:dyDescent="0.25">
      <c r="A23" s="5"/>
      <c r="B23" s="9">
        <v>2014</v>
      </c>
      <c r="C23" s="15">
        <f>C9/2</f>
        <v>0</v>
      </c>
      <c r="D23" s="16" t="e">
        <f t="shared" si="3"/>
        <v>#DIV/0!</v>
      </c>
      <c r="E23" s="17">
        <f>E16*2</f>
        <v>0</v>
      </c>
      <c r="F23" s="15" t="e">
        <f>F16</f>
        <v>#DIV/0!</v>
      </c>
    </row>
    <row r="24" spans="1:17" x14ac:dyDescent="0.25">
      <c r="A24" s="5"/>
    </row>
    <row r="25" spans="1:17" x14ac:dyDescent="0.25">
      <c r="H25" s="3"/>
      <c r="K25" s="77" t="s">
        <v>126</v>
      </c>
      <c r="L25" s="77"/>
      <c r="M25" s="77"/>
      <c r="N25" s="77"/>
      <c r="O25" s="77"/>
      <c r="P25" s="77"/>
      <c r="Q25" s="77"/>
    </row>
    <row r="26" spans="1:17" x14ac:dyDescent="0.25">
      <c r="A26" t="s">
        <v>22</v>
      </c>
      <c r="K26" s="77"/>
      <c r="L26" s="77"/>
      <c r="M26" s="77"/>
      <c r="N26" s="77"/>
      <c r="O26" s="77"/>
      <c r="P26" s="77"/>
      <c r="Q26" s="77"/>
    </row>
    <row r="27" spans="1:17" x14ac:dyDescent="0.25">
      <c r="K27" s="77"/>
      <c r="L27" s="77"/>
      <c r="M27" s="77"/>
      <c r="N27" s="77"/>
      <c r="O27" s="77"/>
      <c r="P27" s="77"/>
      <c r="Q27" s="77"/>
    </row>
    <row r="28" spans="1:17" ht="47.25" x14ac:dyDescent="0.25">
      <c r="B28" s="72" t="s">
        <v>17</v>
      </c>
      <c r="C28" s="10" t="s">
        <v>63</v>
      </c>
      <c r="D28" s="20" t="s">
        <v>25</v>
      </c>
      <c r="E28" s="10" t="s">
        <v>27</v>
      </c>
      <c r="K28" s="77"/>
      <c r="L28" s="77"/>
      <c r="M28" s="77"/>
      <c r="N28" s="77"/>
      <c r="O28" s="77"/>
      <c r="P28" s="77"/>
      <c r="Q28" s="77"/>
    </row>
    <row r="29" spans="1:17" x14ac:dyDescent="0.25">
      <c r="B29" s="9">
        <v>2012</v>
      </c>
      <c r="C29" s="15">
        <f>C14</f>
        <v>1.75</v>
      </c>
      <c r="D29" s="9" t="e">
        <f>F21</f>
        <v>#DIV/0!</v>
      </c>
      <c r="E29" s="9"/>
      <c r="K29" s="78"/>
      <c r="L29" s="78"/>
      <c r="M29" s="78"/>
      <c r="N29" s="78"/>
      <c r="O29" s="78"/>
      <c r="P29" s="78"/>
      <c r="Q29" s="78"/>
    </row>
    <row r="30" spans="1:17" x14ac:dyDescent="0.25">
      <c r="B30" s="9">
        <v>2013</v>
      </c>
      <c r="C30" s="15">
        <f>C15</f>
        <v>1.75</v>
      </c>
      <c r="D30" s="9" t="e">
        <f t="shared" ref="D30:D31" si="4">F22</f>
        <v>#DIV/0!</v>
      </c>
      <c r="E30" s="21" t="e">
        <f>(C30+((D30-D29)/D29))/100</f>
        <v>#DIV/0!</v>
      </c>
      <c r="K30" s="78"/>
      <c r="L30" s="78"/>
      <c r="M30" s="78"/>
      <c r="N30" s="78"/>
      <c r="O30" s="78"/>
      <c r="P30" s="78"/>
      <c r="Q30" s="78"/>
    </row>
    <row r="31" spans="1:17" x14ac:dyDescent="0.25">
      <c r="B31" s="9">
        <v>2014</v>
      </c>
      <c r="C31" s="15">
        <f>C16</f>
        <v>1.75</v>
      </c>
      <c r="D31" s="9" t="e">
        <f t="shared" si="4"/>
        <v>#DIV/0!</v>
      </c>
      <c r="E31" s="21" t="e">
        <f>(C31+((D31-D30)/D30))/100</f>
        <v>#DIV/0!</v>
      </c>
      <c r="K31" s="78"/>
      <c r="L31" s="78"/>
      <c r="M31" s="78"/>
      <c r="N31" s="78"/>
      <c r="O31" s="78"/>
      <c r="P31" s="78"/>
      <c r="Q31" s="78"/>
    </row>
    <row r="33" spans="1:17" x14ac:dyDescent="0.25">
      <c r="K33" s="77" t="s">
        <v>127</v>
      </c>
      <c r="L33" s="77"/>
      <c r="M33" s="77"/>
      <c r="N33" s="77"/>
      <c r="O33" s="77"/>
      <c r="P33" s="77"/>
      <c r="Q33" s="77"/>
    </row>
    <row r="34" spans="1:17" x14ac:dyDescent="0.25">
      <c r="A34" s="6" t="s">
        <v>65</v>
      </c>
      <c r="K34" s="77"/>
      <c r="L34" s="77"/>
      <c r="M34" s="77"/>
      <c r="N34" s="77"/>
      <c r="O34" s="77"/>
      <c r="P34" s="77"/>
      <c r="Q34" s="77"/>
    </row>
    <row r="35" spans="1:17" x14ac:dyDescent="0.25">
      <c r="A35" s="6"/>
      <c r="B35" t="s">
        <v>32</v>
      </c>
      <c r="K35" s="77"/>
      <c r="L35" s="77"/>
      <c r="M35" s="77"/>
      <c r="N35" s="77"/>
      <c r="O35" s="77"/>
      <c r="P35" s="77"/>
      <c r="Q35" s="77"/>
    </row>
    <row r="36" spans="1:17" x14ac:dyDescent="0.25">
      <c r="A36" s="6"/>
      <c r="K36" s="77"/>
      <c r="L36" s="77"/>
      <c r="M36" s="77"/>
      <c r="N36" s="77"/>
      <c r="O36" s="77"/>
      <c r="P36" s="77"/>
      <c r="Q36" s="77"/>
    </row>
    <row r="37" spans="1:17" x14ac:dyDescent="0.25">
      <c r="B37" s="24" t="s">
        <v>35</v>
      </c>
      <c r="C37" s="27" t="s">
        <v>33</v>
      </c>
      <c r="D37" s="31">
        <v>-2963</v>
      </c>
      <c r="K37" s="77"/>
      <c r="L37" s="77"/>
      <c r="M37" s="77"/>
      <c r="N37" s="77"/>
      <c r="O37" s="77"/>
      <c r="P37" s="77"/>
      <c r="Q37" s="77"/>
    </row>
    <row r="38" spans="1:17" x14ac:dyDescent="0.25">
      <c r="B38" s="24" t="s">
        <v>36</v>
      </c>
      <c r="C38" s="27" t="s">
        <v>34</v>
      </c>
      <c r="D38" s="15">
        <v>40</v>
      </c>
      <c r="E38" s="26" t="s">
        <v>45</v>
      </c>
      <c r="F38" s="26"/>
      <c r="G38" s="26"/>
      <c r="H38" s="26"/>
      <c r="K38" s="77"/>
      <c r="L38" s="77"/>
      <c r="M38" s="77"/>
      <c r="N38" s="77"/>
      <c r="O38" s="77"/>
      <c r="P38" s="77"/>
      <c r="Q38" s="77"/>
    </row>
    <row r="39" spans="1:17" x14ac:dyDescent="0.25">
      <c r="B39" s="24" t="s">
        <v>37</v>
      </c>
      <c r="C39" s="27" t="s">
        <v>38</v>
      </c>
      <c r="D39" s="15">
        <v>2.9375</v>
      </c>
      <c r="E39" s="26" t="s">
        <v>46</v>
      </c>
      <c r="F39" s="26"/>
      <c r="G39" s="26"/>
      <c r="H39" s="26"/>
      <c r="K39" s="77"/>
      <c r="L39" s="77"/>
      <c r="M39" s="77"/>
      <c r="N39" s="77"/>
      <c r="O39" s="77"/>
      <c r="P39" s="77"/>
      <c r="Q39" s="77"/>
    </row>
    <row r="40" spans="1:17" x14ac:dyDescent="0.25">
      <c r="B40" s="24" t="s">
        <v>39</v>
      </c>
      <c r="C40" s="27" t="s">
        <v>40</v>
      </c>
      <c r="D40" s="15">
        <v>0</v>
      </c>
      <c r="E40" s="26" t="s">
        <v>41</v>
      </c>
      <c r="F40" s="26"/>
      <c r="G40" s="26"/>
      <c r="H40" s="26"/>
      <c r="K40" s="78"/>
      <c r="L40" s="78"/>
      <c r="M40" s="78"/>
      <c r="N40" s="78"/>
      <c r="O40" s="78"/>
      <c r="P40" s="78"/>
      <c r="Q40" s="78"/>
    </row>
    <row r="41" spans="1:17" x14ac:dyDescent="0.25">
      <c r="B41" s="24" t="s">
        <v>43</v>
      </c>
      <c r="C41" s="27" t="s">
        <v>42</v>
      </c>
      <c r="D41" s="30"/>
      <c r="E41" s="28" t="s">
        <v>60</v>
      </c>
      <c r="K41" s="78"/>
      <c r="L41" s="78"/>
      <c r="M41" s="78"/>
      <c r="N41" s="78"/>
      <c r="O41" s="78"/>
      <c r="P41" s="78"/>
      <c r="Q41" s="78"/>
    </row>
    <row r="42" spans="1:17" x14ac:dyDescent="0.25">
      <c r="K42" s="78"/>
      <c r="L42" s="78"/>
      <c r="M42" s="78"/>
      <c r="N42" s="78"/>
      <c r="O42" s="78"/>
      <c r="P42" s="78"/>
      <c r="Q42" s="78"/>
    </row>
    <row r="43" spans="1:17" x14ac:dyDescent="0.25">
      <c r="A43" t="s">
        <v>23</v>
      </c>
      <c r="K43" s="78"/>
      <c r="L43" s="78"/>
      <c r="M43" s="78"/>
      <c r="N43" s="78"/>
      <c r="O43" s="78"/>
      <c r="P43" s="78"/>
      <c r="Q43" s="78"/>
    </row>
    <row r="44" spans="1:17" x14ac:dyDescent="0.25">
      <c r="K44" s="78"/>
      <c r="L44" s="78"/>
      <c r="M44" s="78"/>
      <c r="N44" s="78"/>
      <c r="O44" s="78"/>
      <c r="P44" s="78"/>
      <c r="Q44" s="78"/>
    </row>
    <row r="45" spans="1:17" x14ac:dyDescent="0.25">
      <c r="B45" s="24" t="s">
        <v>35</v>
      </c>
      <c r="C45" s="27" t="s">
        <v>33</v>
      </c>
      <c r="D45" s="31">
        <v>-2963</v>
      </c>
      <c r="K45" s="78"/>
      <c r="L45" s="78"/>
      <c r="M45" s="78"/>
      <c r="N45" s="78"/>
      <c r="O45" s="78"/>
      <c r="P45" s="78"/>
      <c r="Q45" s="78"/>
    </row>
    <row r="46" spans="1:17" x14ac:dyDescent="0.25">
      <c r="B46" s="24" t="s">
        <v>36</v>
      </c>
      <c r="C46" s="27" t="s">
        <v>34</v>
      </c>
      <c r="D46" s="15">
        <v>40</v>
      </c>
      <c r="K46" s="78"/>
      <c r="L46" s="78"/>
      <c r="M46" s="78"/>
      <c r="N46" s="78"/>
      <c r="O46" s="78"/>
      <c r="P46" s="78"/>
      <c r="Q46" s="78"/>
    </row>
    <row r="47" spans="1:17" x14ac:dyDescent="0.25">
      <c r="B47" s="24" t="s">
        <v>37</v>
      </c>
      <c r="C47" s="27" t="s">
        <v>38</v>
      </c>
      <c r="D47" s="11"/>
      <c r="E47" s="29" t="s">
        <v>44</v>
      </c>
      <c r="F47" s="29"/>
      <c r="G47" s="28" t="s">
        <v>47</v>
      </c>
      <c r="H47" s="26"/>
    </row>
    <row r="48" spans="1:17" x14ac:dyDescent="0.25">
      <c r="B48" s="24" t="s">
        <v>39</v>
      </c>
      <c r="C48" s="27" t="s">
        <v>40</v>
      </c>
      <c r="D48" s="15">
        <v>0</v>
      </c>
      <c r="K48" s="6" t="s">
        <v>51</v>
      </c>
      <c r="L48" s="6"/>
      <c r="M48" s="6"/>
      <c r="N48" s="6"/>
    </row>
    <row r="49" spans="1:11" x14ac:dyDescent="0.25">
      <c r="B49" s="24" t="s">
        <v>43</v>
      </c>
      <c r="C49" s="27" t="s">
        <v>42</v>
      </c>
      <c r="D49" s="30"/>
      <c r="E49" s="28" t="s">
        <v>60</v>
      </c>
      <c r="K49" t="s">
        <v>52</v>
      </c>
    </row>
    <row r="50" spans="1:11" x14ac:dyDescent="0.25">
      <c r="K50" t="s">
        <v>53</v>
      </c>
    </row>
    <row r="51" spans="1:11" x14ac:dyDescent="0.25">
      <c r="K51" t="s">
        <v>54</v>
      </c>
    </row>
    <row r="52" spans="1:11" x14ac:dyDescent="0.25">
      <c r="A52" t="s">
        <v>24</v>
      </c>
      <c r="K52" t="s">
        <v>55</v>
      </c>
    </row>
    <row r="53" spans="1:11" x14ac:dyDescent="0.25">
      <c r="K53" t="s">
        <v>56</v>
      </c>
    </row>
    <row r="54" spans="1:11" x14ac:dyDescent="0.25">
      <c r="B54" s="24" t="s">
        <v>35</v>
      </c>
      <c r="C54" s="27" t="s">
        <v>33</v>
      </c>
      <c r="D54" s="31">
        <v>-2963</v>
      </c>
      <c r="K54" t="s">
        <v>61</v>
      </c>
    </row>
    <row r="55" spans="1:11" x14ac:dyDescent="0.25">
      <c r="B55" s="24" t="s">
        <v>36</v>
      </c>
      <c r="C55" s="27" t="s">
        <v>34</v>
      </c>
      <c r="D55" s="15">
        <v>40</v>
      </c>
      <c r="K55" t="s">
        <v>57</v>
      </c>
    </row>
    <row r="56" spans="1:11" x14ac:dyDescent="0.25">
      <c r="B56" s="24" t="s">
        <v>37</v>
      </c>
      <c r="C56" s="27" t="s">
        <v>38</v>
      </c>
      <c r="D56" s="11"/>
      <c r="E56" s="29" t="s">
        <v>44</v>
      </c>
      <c r="F56" s="29"/>
      <c r="G56" s="26" t="s">
        <v>48</v>
      </c>
      <c r="H56" s="26"/>
      <c r="I56" s="26"/>
      <c r="K56" t="s">
        <v>58</v>
      </c>
    </row>
    <row r="57" spans="1:11" x14ac:dyDescent="0.25">
      <c r="B57" s="24" t="s">
        <v>39</v>
      </c>
      <c r="C57" s="27" t="s">
        <v>40</v>
      </c>
      <c r="D57" s="15">
        <v>0</v>
      </c>
      <c r="K57" t="s">
        <v>59</v>
      </c>
    </row>
    <row r="58" spans="1:11" x14ac:dyDescent="0.25">
      <c r="B58" s="24" t="s">
        <v>43</v>
      </c>
      <c r="C58" s="27" t="s">
        <v>42</v>
      </c>
      <c r="D58" s="30"/>
      <c r="E58" s="28" t="s">
        <v>60</v>
      </c>
    </row>
    <row r="61" spans="1:11" x14ac:dyDescent="0.25">
      <c r="A61" t="s">
        <v>49</v>
      </c>
    </row>
    <row r="62" spans="1:11" x14ac:dyDescent="0.25">
      <c r="B62" t="s">
        <v>50</v>
      </c>
    </row>
  </sheetData>
  <sheetProtection algorithmName="SHA-512" hashValue="MaMtKCPvbtXCePKzofGMF0wCnqal8yfGC/KrX9sS8Bo7t4S9fbXeiWcSlB+1O+Nhv4KYIQGP+dprIswlgmvQ7A==" saltValue="3EYjyLZAUZf6vWIBQTWJQQ==" spinCount="100000" sheet="1" objects="1" scenarios="1"/>
  <protectedRanges>
    <protectedRange sqref="D58" name="Range6"/>
    <protectedRange sqref="D56" name="Range5"/>
    <protectedRange sqref="D49" name="Range4"/>
    <protectedRange sqref="D47" name="Range3"/>
    <protectedRange sqref="D41" name="Range2"/>
    <protectedRange sqref="C7:E9" name="Range1"/>
  </protectedRanges>
  <mergeCells count="7">
    <mergeCell ref="A1:G1"/>
    <mergeCell ref="K18:Q22"/>
    <mergeCell ref="K25:Q31"/>
    <mergeCell ref="K33:Q46"/>
    <mergeCell ref="K2:Q5"/>
    <mergeCell ref="K13:Q15"/>
    <mergeCell ref="K6:Q11"/>
  </mergeCells>
  <pageMargins left="0.75" right="0.75" top="1" bottom="1" header="0.5" footer="0.5"/>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N27"/>
  <sheetViews>
    <sheetView zoomScale="90" zoomScaleNormal="90" workbookViewId="0">
      <selection activeCell="F2" sqref="F2"/>
    </sheetView>
  </sheetViews>
  <sheetFormatPr defaultColWidth="11" defaultRowHeight="15.75" x14ac:dyDescent="0.25"/>
  <cols>
    <col min="1" max="1" width="34.5" customWidth="1"/>
    <col min="2" max="2" width="13.125" style="61" customWidth="1"/>
    <col min="3" max="3" width="18.625" customWidth="1"/>
    <col min="4" max="4" width="15.75" customWidth="1"/>
    <col min="5" max="5" width="13.5" customWidth="1"/>
    <col min="6" max="6" width="15.625" customWidth="1"/>
    <col min="7" max="7" width="13.25" customWidth="1"/>
    <col min="8" max="8" width="6" customWidth="1"/>
    <col min="9" max="9" width="4.125" style="7" customWidth="1"/>
  </cols>
  <sheetData>
    <row r="1" spans="1:14" x14ac:dyDescent="0.25">
      <c r="A1" s="81" t="s">
        <v>130</v>
      </c>
      <c r="B1" s="82"/>
      <c r="C1" s="82"/>
      <c r="J1" s="6"/>
    </row>
    <row r="2" spans="1:14" x14ac:dyDescent="0.25">
      <c r="E2" s="70" t="s">
        <v>96</v>
      </c>
      <c r="F2" s="68"/>
      <c r="J2" s="6" t="s">
        <v>74</v>
      </c>
      <c r="K2" s="6"/>
      <c r="L2" s="6"/>
      <c r="N2" t="s">
        <v>75</v>
      </c>
    </row>
    <row r="3" spans="1:14" x14ac:dyDescent="0.25">
      <c r="J3" t="s">
        <v>102</v>
      </c>
      <c r="N3" t="s">
        <v>76</v>
      </c>
    </row>
    <row r="4" spans="1:14" x14ac:dyDescent="0.25">
      <c r="J4" t="s">
        <v>103</v>
      </c>
    </row>
    <row r="5" spans="1:14" x14ac:dyDescent="0.25">
      <c r="A5" s="9"/>
      <c r="B5" s="58" t="s">
        <v>6</v>
      </c>
      <c r="C5" s="62" t="s">
        <v>86</v>
      </c>
      <c r="D5" s="62" t="s">
        <v>87</v>
      </c>
      <c r="E5" s="62" t="s">
        <v>88</v>
      </c>
      <c r="F5" s="62" t="s">
        <v>89</v>
      </c>
      <c r="G5" s="62" t="s">
        <v>90</v>
      </c>
      <c r="J5" t="s">
        <v>80</v>
      </c>
    </row>
    <row r="6" spans="1:14" x14ac:dyDescent="0.25">
      <c r="A6" s="9"/>
      <c r="B6" s="63"/>
      <c r="C6" s="9"/>
      <c r="D6" s="9"/>
      <c r="E6" s="9"/>
      <c r="F6" s="9"/>
      <c r="G6" s="9"/>
      <c r="J6" t="s">
        <v>104</v>
      </c>
    </row>
    <row r="7" spans="1:14" x14ac:dyDescent="0.25">
      <c r="A7" s="9" t="s">
        <v>112</v>
      </c>
      <c r="B7" s="64"/>
      <c r="C7" s="38"/>
      <c r="D7" s="38"/>
      <c r="E7" s="38"/>
      <c r="F7" s="38"/>
      <c r="G7" s="38"/>
      <c r="J7" s="33" t="s">
        <v>101</v>
      </c>
    </row>
    <row r="8" spans="1:14" x14ac:dyDescent="0.25">
      <c r="A8" s="9" t="s">
        <v>77</v>
      </c>
      <c r="B8" s="62"/>
      <c r="C8" s="39"/>
      <c r="D8" s="39"/>
      <c r="E8" s="39"/>
      <c r="F8" s="39"/>
      <c r="G8" s="39"/>
      <c r="H8" s="32"/>
      <c r="J8" t="s">
        <v>97</v>
      </c>
    </row>
    <row r="9" spans="1:14" ht="16.5" thickBot="1" x14ac:dyDescent="0.3">
      <c r="A9" s="42" t="s">
        <v>78</v>
      </c>
      <c r="B9" s="65"/>
      <c r="C9" s="43">
        <f>($B$6/100)*20</f>
        <v>0</v>
      </c>
      <c r="D9" s="43">
        <f t="shared" ref="D9:G9" si="0">($B$6/100)*20</f>
        <v>0</v>
      </c>
      <c r="E9" s="43">
        <f t="shared" si="0"/>
        <v>0</v>
      </c>
      <c r="F9" s="43">
        <f t="shared" si="0"/>
        <v>0</v>
      </c>
      <c r="G9" s="43">
        <f t="shared" si="0"/>
        <v>0</v>
      </c>
      <c r="H9" s="32"/>
      <c r="J9" t="s">
        <v>98</v>
      </c>
    </row>
    <row r="10" spans="1:14" x14ac:dyDescent="0.25">
      <c r="A10" s="40" t="s">
        <v>84</v>
      </c>
      <c r="B10" s="66"/>
      <c r="C10" s="41">
        <f>C7-C8-C9</f>
        <v>0</v>
      </c>
      <c r="D10" s="41">
        <f t="shared" ref="D10:G10" si="1">D7-D8-D9</f>
        <v>0</v>
      </c>
      <c r="E10" s="41">
        <f t="shared" si="1"/>
        <v>0</v>
      </c>
      <c r="F10" s="41">
        <f t="shared" si="1"/>
        <v>0</v>
      </c>
      <c r="G10" s="41">
        <f t="shared" si="1"/>
        <v>0</v>
      </c>
      <c r="H10" s="32"/>
      <c r="J10" t="s">
        <v>79</v>
      </c>
    </row>
    <row r="11" spans="1:14" ht="16.5" thickBot="1" x14ac:dyDescent="0.3">
      <c r="A11" s="42" t="s">
        <v>81</v>
      </c>
      <c r="B11" s="65"/>
      <c r="C11" s="43">
        <f>C10*0.35</f>
        <v>0</v>
      </c>
      <c r="D11" s="43">
        <f t="shared" ref="D11:G11" si="2">D10*0.35</f>
        <v>0</v>
      </c>
      <c r="E11" s="43">
        <f t="shared" si="2"/>
        <v>0</v>
      </c>
      <c r="F11" s="43">
        <f t="shared" si="2"/>
        <v>0</v>
      </c>
      <c r="G11" s="43">
        <f t="shared" si="2"/>
        <v>0</v>
      </c>
      <c r="H11" s="32"/>
      <c r="J11" t="s">
        <v>99</v>
      </c>
    </row>
    <row r="12" spans="1:14" x14ac:dyDescent="0.25">
      <c r="A12" s="40" t="s">
        <v>82</v>
      </c>
      <c r="B12" s="66"/>
      <c r="C12" s="41">
        <f>C10-C11</f>
        <v>0</v>
      </c>
      <c r="D12" s="41">
        <f t="shared" ref="D12:G12" si="3">D10-D11</f>
        <v>0</v>
      </c>
      <c r="E12" s="41">
        <f t="shared" si="3"/>
        <v>0</v>
      </c>
      <c r="F12" s="41">
        <f t="shared" si="3"/>
        <v>0</v>
      </c>
      <c r="G12" s="41">
        <f t="shared" si="3"/>
        <v>0</v>
      </c>
      <c r="H12" s="32"/>
      <c r="J12" t="s">
        <v>100</v>
      </c>
    </row>
    <row r="13" spans="1:14" ht="16.5" thickBot="1" x14ac:dyDescent="0.3">
      <c r="A13" s="42" t="s">
        <v>83</v>
      </c>
      <c r="B13" s="65"/>
      <c r="C13" s="43">
        <f>C9*(-1)</f>
        <v>0</v>
      </c>
      <c r="D13" s="43">
        <f t="shared" ref="D13:G13" si="4">D9*(-1)</f>
        <v>0</v>
      </c>
      <c r="E13" s="43">
        <f t="shared" si="4"/>
        <v>0</v>
      </c>
      <c r="F13" s="43">
        <f t="shared" si="4"/>
        <v>0</v>
      </c>
      <c r="G13" s="43">
        <f t="shared" si="4"/>
        <v>0</v>
      </c>
      <c r="H13" s="32"/>
      <c r="J13" s="33" t="s">
        <v>85</v>
      </c>
    </row>
    <row r="14" spans="1:14" x14ac:dyDescent="0.25">
      <c r="A14" s="40" t="s">
        <v>111</v>
      </c>
      <c r="B14" s="67">
        <f>B6</f>
        <v>0</v>
      </c>
      <c r="C14" s="41">
        <f>C12+C13</f>
        <v>0</v>
      </c>
      <c r="D14" s="41">
        <f t="shared" ref="D14:G14" si="5">D12+D13</f>
        <v>0</v>
      </c>
      <c r="E14" s="41">
        <f t="shared" si="5"/>
        <v>0</v>
      </c>
      <c r="F14" s="41">
        <f t="shared" si="5"/>
        <v>0</v>
      </c>
      <c r="G14" s="41">
        <f t="shared" si="5"/>
        <v>0</v>
      </c>
      <c r="H14" s="32"/>
      <c r="J14" t="s">
        <v>91</v>
      </c>
    </row>
    <row r="15" spans="1:14" x14ac:dyDescent="0.25">
      <c r="J15" t="s">
        <v>92</v>
      </c>
    </row>
    <row r="16" spans="1:14" ht="31.5" x14ac:dyDescent="0.25">
      <c r="D16" s="59" t="s">
        <v>131</v>
      </c>
      <c r="J16" t="s">
        <v>93</v>
      </c>
    </row>
    <row r="17" spans="2:14" x14ac:dyDescent="0.25">
      <c r="B17" s="69" t="s">
        <v>7</v>
      </c>
      <c r="C17" s="34">
        <f>NPV(0.08,B14:G14)+B6</f>
        <v>0</v>
      </c>
      <c r="D17" s="60"/>
      <c r="J17" t="s">
        <v>94</v>
      </c>
    </row>
    <row r="18" spans="2:14" x14ac:dyDescent="0.25">
      <c r="D18" s="6"/>
      <c r="J18" t="s">
        <v>95</v>
      </c>
    </row>
    <row r="19" spans="2:14" x14ac:dyDescent="0.25">
      <c r="B19" s="69" t="s">
        <v>8</v>
      </c>
      <c r="C19" s="35" t="e">
        <f>IRR(B14:G14,0.1)</f>
        <v>#NUM!</v>
      </c>
      <c r="D19" s="60"/>
    </row>
    <row r="20" spans="2:14" x14ac:dyDescent="0.25">
      <c r="J20" s="78" t="s">
        <v>107</v>
      </c>
      <c r="K20" s="78"/>
      <c r="L20" s="78"/>
      <c r="M20" s="78"/>
      <c r="N20" s="78"/>
    </row>
    <row r="21" spans="2:14" x14ac:dyDescent="0.25">
      <c r="J21" s="78"/>
      <c r="K21" s="78"/>
      <c r="L21" s="78"/>
      <c r="M21" s="78"/>
      <c r="N21" s="78"/>
    </row>
    <row r="22" spans="2:14" x14ac:dyDescent="0.25">
      <c r="J22" s="78"/>
      <c r="K22" s="78"/>
      <c r="L22" s="78"/>
      <c r="M22" s="78"/>
      <c r="N22" s="78"/>
    </row>
    <row r="24" spans="2:14" x14ac:dyDescent="0.25">
      <c r="J24" s="77" t="s">
        <v>109</v>
      </c>
      <c r="K24" s="77"/>
      <c r="L24" s="77"/>
      <c r="M24" s="77"/>
      <c r="N24" s="77"/>
    </row>
    <row r="25" spans="2:14" x14ac:dyDescent="0.25">
      <c r="J25" s="77"/>
      <c r="K25" s="77"/>
      <c r="L25" s="77"/>
      <c r="M25" s="77"/>
      <c r="N25" s="77"/>
    </row>
    <row r="26" spans="2:14" x14ac:dyDescent="0.25">
      <c r="J26" s="77"/>
      <c r="K26" s="77"/>
      <c r="L26" s="77"/>
      <c r="M26" s="77"/>
      <c r="N26" s="77"/>
    </row>
    <row r="27" spans="2:14" x14ac:dyDescent="0.25">
      <c r="J27" s="77"/>
      <c r="K27" s="77"/>
      <c r="L27" s="77"/>
      <c r="M27" s="77"/>
      <c r="N27" s="77"/>
    </row>
  </sheetData>
  <sheetProtection algorithmName="SHA-512" hashValue="BHNRuKYPY/0LVHIfNBoDZVY4SRIPd8lrZjwbid8t2Wba6bSvfaV9W5T32SSMg9u20Rr/OD8bAQOsoR2cHGNtrA==" saltValue="8tNlvFCahlGR7VtlvfM/cw==" spinCount="100000" sheet="1" objects="1" scenarios="1"/>
  <protectedRanges>
    <protectedRange sqref="D19" name="Range5"/>
    <protectedRange sqref="D17" name="Range4"/>
    <protectedRange sqref="F2" name="Range1"/>
    <protectedRange sqref="B6" name="Range2"/>
    <protectedRange sqref="C7:G8" name="Range3"/>
  </protectedRanges>
  <mergeCells count="3">
    <mergeCell ref="A1:C1"/>
    <mergeCell ref="J20:N22"/>
    <mergeCell ref="J24:N27"/>
  </mergeCells>
  <dataValidations count="1">
    <dataValidation type="list" allowBlank="1" showInputMessage="1" showErrorMessage="1" sqref="D17 D19">
      <formula1>ACCEPT</formula1>
    </dataValidation>
  </dataValidations>
  <pageMargins left="0.75" right="0.75" top="1" bottom="1" header="0.5" footer="0.5"/>
  <pageSetup orientation="portrait"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M40"/>
  <sheetViews>
    <sheetView workbookViewId="0">
      <selection activeCell="G17" sqref="G17"/>
    </sheetView>
  </sheetViews>
  <sheetFormatPr defaultColWidth="11" defaultRowHeight="15.75" x14ac:dyDescent="0.25"/>
  <cols>
    <col min="1" max="1" width="18.25" customWidth="1"/>
    <col min="2" max="2" width="6.625" customWidth="1"/>
    <col min="8" max="8" width="7.625" customWidth="1"/>
    <col min="9" max="9" width="3.625" style="7" customWidth="1"/>
    <col min="10" max="10" width="22.125" customWidth="1"/>
  </cols>
  <sheetData>
    <row r="1" spans="1:13" x14ac:dyDescent="0.25">
      <c r="A1" s="1" t="s">
        <v>132</v>
      </c>
      <c r="B1" s="1"/>
      <c r="J1" s="6" t="s">
        <v>108</v>
      </c>
    </row>
    <row r="2" spans="1:13" ht="32.25" customHeight="1" x14ac:dyDescent="0.25">
      <c r="J2" s="83" t="s">
        <v>114</v>
      </c>
      <c r="K2" s="83"/>
      <c r="L2" s="83"/>
      <c r="M2" s="83"/>
    </row>
    <row r="3" spans="1:13" x14ac:dyDescent="0.25">
      <c r="A3" s="6" t="s">
        <v>113</v>
      </c>
      <c r="B3" s="6"/>
      <c r="C3" s="6"/>
      <c r="D3" s="6"/>
      <c r="E3" s="6"/>
    </row>
    <row r="4" spans="1:13" x14ac:dyDescent="0.25">
      <c r="J4" s="33" t="s">
        <v>115</v>
      </c>
    </row>
    <row r="5" spans="1:13" x14ac:dyDescent="0.25">
      <c r="A5" s="24" t="s">
        <v>0</v>
      </c>
      <c r="B5" s="50">
        <v>0.08</v>
      </c>
      <c r="C5" s="52"/>
      <c r="D5" s="52"/>
      <c r="E5" s="52"/>
      <c r="F5" s="52"/>
      <c r="G5" s="52"/>
      <c r="J5" t="s">
        <v>116</v>
      </c>
    </row>
    <row r="6" spans="1:13" x14ac:dyDescent="0.25">
      <c r="A6" s="52"/>
      <c r="B6" s="52"/>
      <c r="C6" s="52"/>
      <c r="D6" s="52"/>
      <c r="E6" s="52"/>
      <c r="F6" s="52"/>
      <c r="G6" s="53"/>
      <c r="J6" t="s">
        <v>117</v>
      </c>
    </row>
    <row r="7" spans="1:13" x14ac:dyDescent="0.25">
      <c r="A7" s="9"/>
      <c r="B7" s="9"/>
      <c r="C7" s="9" t="s">
        <v>1</v>
      </c>
      <c r="D7" s="9" t="s">
        <v>2</v>
      </c>
      <c r="E7" s="9" t="s">
        <v>3</v>
      </c>
      <c r="F7" s="9" t="s">
        <v>4</v>
      </c>
      <c r="G7" s="9" t="s">
        <v>5</v>
      </c>
    </row>
    <row r="8" spans="1:13" x14ac:dyDescent="0.25">
      <c r="A8" s="9" t="s">
        <v>14</v>
      </c>
      <c r="B8" s="9"/>
      <c r="C8" s="9">
        <v>113</v>
      </c>
      <c r="D8" s="9">
        <v>111</v>
      </c>
      <c r="E8" s="9">
        <v>108</v>
      </c>
      <c r="F8" s="9">
        <v>101</v>
      </c>
      <c r="G8" s="9">
        <v>97</v>
      </c>
    </row>
    <row r="9" spans="1:13" x14ac:dyDescent="0.25">
      <c r="A9" s="9"/>
      <c r="B9" s="9"/>
      <c r="C9" s="9"/>
      <c r="D9" s="9"/>
      <c r="E9" s="9"/>
      <c r="F9" s="9"/>
      <c r="G9" s="9"/>
    </row>
    <row r="10" spans="1:13" x14ac:dyDescent="0.25">
      <c r="A10" s="9" t="s">
        <v>16</v>
      </c>
      <c r="B10" s="9"/>
      <c r="C10" s="46">
        <f>PV(B5,1,,C8)</f>
        <v>-104.62962962962962</v>
      </c>
      <c r="D10" s="46">
        <f>PV(B5,2,,D8)</f>
        <v>-95.164609053497941</v>
      </c>
      <c r="E10" s="46">
        <f>PV(B5,3,,E8)</f>
        <v>-85.733882030178322</v>
      </c>
      <c r="F10" s="46">
        <f>PV(B5,4,,F8)</f>
        <v>-74.238015132441774</v>
      </c>
      <c r="G10" s="46">
        <f>PV(B5,5,,G8)</f>
        <v>-66.016570112274039</v>
      </c>
    </row>
    <row r="11" spans="1:13" x14ac:dyDescent="0.25">
      <c r="A11" s="9"/>
      <c r="B11" s="9"/>
      <c r="C11" s="9"/>
      <c r="D11" s="9" t="s">
        <v>13</v>
      </c>
      <c r="E11" s="9"/>
      <c r="F11" s="9"/>
      <c r="G11" s="9"/>
    </row>
    <row r="12" spans="1:13" x14ac:dyDescent="0.25">
      <c r="A12" s="9"/>
      <c r="B12" s="9"/>
      <c r="C12" s="9"/>
      <c r="D12" s="9"/>
      <c r="E12" s="9"/>
      <c r="F12" s="9"/>
      <c r="G12" s="9"/>
    </row>
    <row r="13" spans="1:13" x14ac:dyDescent="0.25">
      <c r="A13" s="9" t="s">
        <v>15</v>
      </c>
      <c r="B13" s="9"/>
      <c r="C13" s="46">
        <f>SUM(C10:G10)</f>
        <v>-425.78270595802172</v>
      </c>
      <c r="D13" s="9"/>
      <c r="E13" s="9"/>
      <c r="F13" s="9"/>
      <c r="G13" s="9"/>
    </row>
    <row r="14" spans="1:13" x14ac:dyDescent="0.25">
      <c r="A14" t="s">
        <v>12</v>
      </c>
    </row>
    <row r="16" spans="1:13" x14ac:dyDescent="0.25">
      <c r="A16" s="6" t="s">
        <v>118</v>
      </c>
      <c r="B16" s="6"/>
      <c r="C16" s="6"/>
    </row>
    <row r="18" spans="1:7" x14ac:dyDescent="0.25">
      <c r="A18" s="24" t="s">
        <v>0</v>
      </c>
      <c r="B18" s="71">
        <v>0.05</v>
      </c>
    </row>
    <row r="19" spans="1:7" x14ac:dyDescent="0.25">
      <c r="G19" s="8"/>
    </row>
    <row r="20" spans="1:7" x14ac:dyDescent="0.25">
      <c r="A20" s="9"/>
      <c r="B20" s="9"/>
      <c r="C20" s="9" t="s">
        <v>1</v>
      </c>
      <c r="D20" s="9" t="s">
        <v>2</v>
      </c>
      <c r="E20" s="9" t="s">
        <v>3</v>
      </c>
      <c r="F20" s="9" t="s">
        <v>4</v>
      </c>
      <c r="G20" s="9" t="s">
        <v>5</v>
      </c>
    </row>
    <row r="21" spans="1:7" x14ac:dyDescent="0.25">
      <c r="A21" s="9" t="s">
        <v>14</v>
      </c>
      <c r="B21" s="9"/>
      <c r="C21" s="9">
        <v>113</v>
      </c>
      <c r="D21" s="9">
        <v>111</v>
      </c>
      <c r="E21" s="9">
        <v>108</v>
      </c>
      <c r="F21" s="9">
        <v>101</v>
      </c>
      <c r="G21" s="9">
        <v>97</v>
      </c>
    </row>
    <row r="22" spans="1:7" x14ac:dyDescent="0.25">
      <c r="A22" s="9"/>
      <c r="B22" s="9"/>
      <c r="C22" s="9"/>
      <c r="D22" s="9"/>
      <c r="E22" s="9"/>
      <c r="F22" s="9"/>
      <c r="G22" s="9"/>
    </row>
    <row r="23" spans="1:7" x14ac:dyDescent="0.25">
      <c r="A23" s="9" t="s">
        <v>16</v>
      </c>
      <c r="B23" s="9"/>
      <c r="C23" s="46">
        <f>PV(B18,1,,C21)</f>
        <v>-107.61904761904762</v>
      </c>
      <c r="D23" s="46">
        <f>PV(B18,2,,D21)</f>
        <v>-100.68027210884354</v>
      </c>
      <c r="E23" s="46">
        <f>PV(B18,3,,E21)</f>
        <v>-93.294460641399411</v>
      </c>
      <c r="F23" s="46">
        <f>PV(B18,4,,F21)</f>
        <v>-83.092949953980082</v>
      </c>
      <c r="G23" s="46">
        <f>PV(B18,5,,G21)</f>
        <v>-76.002038147440516</v>
      </c>
    </row>
    <row r="24" spans="1:7" x14ac:dyDescent="0.25">
      <c r="A24" s="9"/>
      <c r="B24" s="9"/>
      <c r="C24" s="9"/>
      <c r="D24" s="9" t="s">
        <v>13</v>
      </c>
      <c r="E24" s="9"/>
      <c r="F24" s="9"/>
      <c r="G24" s="9"/>
    </row>
    <row r="25" spans="1:7" x14ac:dyDescent="0.25">
      <c r="A25" s="9"/>
      <c r="B25" s="9"/>
      <c r="C25" s="9"/>
      <c r="D25" s="9"/>
      <c r="E25" s="9"/>
      <c r="F25" s="9"/>
      <c r="G25" s="9"/>
    </row>
    <row r="26" spans="1:7" x14ac:dyDescent="0.25">
      <c r="A26" s="9" t="s">
        <v>15</v>
      </c>
      <c r="B26" s="9"/>
      <c r="C26" s="46">
        <f>SUM(C23:G23)</f>
        <v>-460.68876847071124</v>
      </c>
      <c r="D26" s="9"/>
      <c r="E26" s="9"/>
      <c r="F26" s="9"/>
      <c r="G26" s="9"/>
    </row>
    <row r="27" spans="1:7" x14ac:dyDescent="0.25">
      <c r="A27" t="s">
        <v>12</v>
      </c>
    </row>
    <row r="29" spans="1:7" x14ac:dyDescent="0.25">
      <c r="A29" s="6" t="s">
        <v>119</v>
      </c>
      <c r="B29" s="6"/>
      <c r="C29" s="6"/>
    </row>
    <row r="31" spans="1:7" x14ac:dyDescent="0.25">
      <c r="A31" s="9" t="s">
        <v>0</v>
      </c>
      <c r="B31" s="12">
        <v>0.15</v>
      </c>
    </row>
    <row r="33" spans="1:7" x14ac:dyDescent="0.25">
      <c r="A33" s="9"/>
      <c r="B33" s="9"/>
      <c r="C33" s="9" t="s">
        <v>1</v>
      </c>
      <c r="D33" s="9" t="s">
        <v>2</v>
      </c>
      <c r="E33" s="9" t="s">
        <v>3</v>
      </c>
      <c r="F33" s="9" t="s">
        <v>4</v>
      </c>
      <c r="G33" s="9" t="s">
        <v>5</v>
      </c>
    </row>
    <row r="34" spans="1:7" x14ac:dyDescent="0.25">
      <c r="A34" s="9" t="s">
        <v>14</v>
      </c>
      <c r="B34" s="9"/>
      <c r="C34" s="9">
        <v>113</v>
      </c>
      <c r="D34" s="9">
        <v>111</v>
      </c>
      <c r="E34" s="9">
        <v>108</v>
      </c>
      <c r="F34" s="9">
        <v>101</v>
      </c>
      <c r="G34" s="9">
        <v>97</v>
      </c>
    </row>
    <row r="35" spans="1:7" x14ac:dyDescent="0.25">
      <c r="A35" s="9"/>
      <c r="B35" s="9"/>
      <c r="C35" s="9"/>
      <c r="D35" s="9"/>
      <c r="E35" s="9"/>
      <c r="F35" s="9"/>
      <c r="G35" s="9"/>
    </row>
    <row r="36" spans="1:7" x14ac:dyDescent="0.25">
      <c r="A36" s="9" t="s">
        <v>16</v>
      </c>
      <c r="B36" s="9"/>
      <c r="C36" s="46">
        <f>PV(B31,1,,C34)</f>
        <v>-98.260869565217405</v>
      </c>
      <c r="D36" s="46">
        <f>PV(B31,2,,D34)</f>
        <v>-83.931947069943305</v>
      </c>
      <c r="E36" s="46">
        <f>PV(B31,3,,E34)</f>
        <v>-71.011753102654737</v>
      </c>
      <c r="F36" s="46">
        <f>PV(B31,4,,F34)</f>
        <v>-57.747077804896371</v>
      </c>
      <c r="G36" s="46">
        <f>PV(B31,5,,G34)</f>
        <v>-48.226143323934117</v>
      </c>
    </row>
    <row r="37" spans="1:7" x14ac:dyDescent="0.25">
      <c r="A37" s="9"/>
      <c r="B37" s="9"/>
      <c r="C37" s="46"/>
      <c r="D37" s="46" t="s">
        <v>13</v>
      </c>
      <c r="E37" s="46"/>
      <c r="F37" s="46"/>
      <c r="G37" s="46"/>
    </row>
    <row r="38" spans="1:7" x14ac:dyDescent="0.25">
      <c r="A38" s="9"/>
      <c r="B38" s="9"/>
      <c r="C38" s="46"/>
      <c r="D38" s="46"/>
      <c r="E38" s="46"/>
      <c r="F38" s="46"/>
      <c r="G38" s="46"/>
    </row>
    <row r="39" spans="1:7" x14ac:dyDescent="0.25">
      <c r="A39" s="9" t="s">
        <v>15</v>
      </c>
      <c r="B39" s="9"/>
      <c r="C39" s="46">
        <f>SUM(C36:G36)</f>
        <v>-359.17779086664598</v>
      </c>
      <c r="D39" s="46"/>
      <c r="E39" s="46"/>
      <c r="F39" s="46"/>
      <c r="G39" s="46"/>
    </row>
    <row r="40" spans="1:7" x14ac:dyDescent="0.25">
      <c r="A40" t="s">
        <v>12</v>
      </c>
      <c r="C40" s="22"/>
      <c r="D40" s="22"/>
      <c r="E40" s="22"/>
      <c r="F40" s="22"/>
      <c r="G40" s="22"/>
    </row>
  </sheetData>
  <sheetProtection algorithmName="SHA-512" hashValue="y99yXD0jUmHLe7keXAiJPh3+3GE9mUSdprPihrD9Tss698as5XR2WXSV+PPku7bwTN6gzSCRq29K5dM9LpkwuQ==" saltValue="a0asCU0/nNeBRBi4urfKLQ==" spinCount="100000" sheet="1" objects="1" scenarios="1"/>
  <protectedRanges>
    <protectedRange sqref="B31" name="Range2"/>
    <protectedRange sqref="B18" name="Range1"/>
  </protectedRanges>
  <mergeCells count="1">
    <mergeCell ref="J2:M2"/>
  </mergeCells>
  <pageMargins left="0.75" right="0.75" top="1" bottom="1" header="0.5" footer="0.5"/>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O29"/>
  <sheetViews>
    <sheetView workbookViewId="0"/>
  </sheetViews>
  <sheetFormatPr defaultRowHeight="15.75" x14ac:dyDescent="0.25"/>
  <cols>
    <col min="2" max="2" width="12.75" customWidth="1"/>
    <col min="4" max="4" width="11" customWidth="1"/>
    <col min="5" max="5" width="13.875" customWidth="1"/>
    <col min="7" max="7" width="10.5" bestFit="1" customWidth="1"/>
    <col min="9" max="9" width="5.625" customWidth="1"/>
    <col min="10" max="10" width="16" customWidth="1"/>
    <col min="11" max="11" width="14.375" customWidth="1"/>
    <col min="12" max="12" width="12.875" customWidth="1"/>
    <col min="13" max="13" width="13.125" customWidth="1"/>
    <col min="14" max="14" width="13.5" customWidth="1"/>
    <col min="15" max="15" width="15" customWidth="1"/>
  </cols>
  <sheetData>
    <row r="1" spans="1:15" x14ac:dyDescent="0.25">
      <c r="B1" s="6" t="s">
        <v>31</v>
      </c>
      <c r="G1" s="56" t="s">
        <v>133</v>
      </c>
    </row>
    <row r="3" spans="1:15" x14ac:dyDescent="0.25">
      <c r="A3" s="6" t="s">
        <v>67</v>
      </c>
      <c r="B3" s="6" t="s">
        <v>64</v>
      </c>
      <c r="C3" s="6"/>
      <c r="D3" s="6"/>
      <c r="J3" s="6" t="s">
        <v>110</v>
      </c>
      <c r="K3" s="6" t="s">
        <v>106</v>
      </c>
      <c r="L3" s="6"/>
    </row>
    <row r="4" spans="1:15" x14ac:dyDescent="0.25">
      <c r="B4" s="24"/>
      <c r="C4" s="9"/>
      <c r="D4" s="24"/>
      <c r="E4" s="24"/>
      <c r="F4" s="24"/>
      <c r="G4" s="24"/>
      <c r="H4" s="24"/>
    </row>
    <row r="5" spans="1:15" x14ac:dyDescent="0.25">
      <c r="B5" s="24"/>
      <c r="C5" s="9"/>
      <c r="D5" s="11"/>
      <c r="E5" s="11"/>
      <c r="F5" s="11"/>
      <c r="G5" s="11"/>
      <c r="H5" s="11"/>
      <c r="J5" s="6"/>
      <c r="K5" s="35"/>
      <c r="L5" s="6"/>
      <c r="M5" s="9"/>
      <c r="N5" s="9"/>
      <c r="O5" s="9"/>
    </row>
    <row r="6" spans="1:15" x14ac:dyDescent="0.25">
      <c r="B6" s="9"/>
      <c r="C6" s="9"/>
      <c r="D6" s="9"/>
      <c r="E6" s="9"/>
      <c r="F6" s="9"/>
      <c r="G6" s="9"/>
      <c r="H6" s="9"/>
      <c r="J6" s="36"/>
      <c r="K6" s="9"/>
      <c r="L6" s="9"/>
      <c r="M6" s="9"/>
      <c r="N6" s="9"/>
      <c r="O6" s="9"/>
    </row>
    <row r="7" spans="1:15" x14ac:dyDescent="0.25">
      <c r="B7" s="9"/>
      <c r="C7" s="9"/>
      <c r="D7" s="46"/>
      <c r="E7" s="9"/>
      <c r="F7" s="9"/>
      <c r="G7" s="9"/>
      <c r="H7" s="9"/>
      <c r="J7" s="37"/>
      <c r="K7" s="38"/>
      <c r="L7" s="38"/>
      <c r="M7" s="38"/>
      <c r="N7" s="38"/>
      <c r="O7" s="38"/>
    </row>
    <row r="8" spans="1:15" x14ac:dyDescent="0.25">
      <c r="D8" s="57" t="b">
        <f>IF(D5=113,TRUE,FALSE)</f>
        <v>0</v>
      </c>
      <c r="E8" s="57" t="b">
        <f>IF(E5=111,TRUE,FALSE)</f>
        <v>0</v>
      </c>
      <c r="F8" s="57" t="b">
        <f>IF(F5=108,TRUE,FALSE)</f>
        <v>0</v>
      </c>
      <c r="G8" s="57" t="b">
        <f>IF(G5=101,TRUE,FALSE)</f>
        <v>0</v>
      </c>
      <c r="H8" s="57" t="b">
        <f>IF(H5=97,TRUE,FALSE)</f>
        <v>0</v>
      </c>
      <c r="J8" s="9"/>
      <c r="K8" s="39"/>
      <c r="L8" s="39"/>
      <c r="M8" s="39"/>
      <c r="N8" s="39"/>
      <c r="O8" s="39"/>
    </row>
    <row r="10" spans="1:15" x14ac:dyDescent="0.25">
      <c r="A10" s="6" t="s">
        <v>68</v>
      </c>
      <c r="B10" s="6" t="s">
        <v>69</v>
      </c>
      <c r="C10" s="6"/>
      <c r="D10" s="6"/>
      <c r="J10" s="6"/>
      <c r="K10" s="34"/>
      <c r="L10" s="6"/>
      <c r="M10" s="57" t="b">
        <f>IF(K10=O10,TRUE,FALSE)</f>
        <v>0</v>
      </c>
      <c r="O10" s="75">
        <v>9785570.7110007554</v>
      </c>
    </row>
    <row r="11" spans="1:15" x14ac:dyDescent="0.25">
      <c r="J11" s="6"/>
      <c r="K11" s="35"/>
      <c r="L11" s="6"/>
      <c r="M11" s="57" t="b">
        <f>IF(K11=O11,TRUE,FALSE)</f>
        <v>0</v>
      </c>
      <c r="O11" s="76">
        <v>0.49946887472190071</v>
      </c>
    </row>
    <row r="12" spans="1:15" ht="50.45" customHeight="1" x14ac:dyDescent="0.25">
      <c r="B12" s="20"/>
      <c r="C12" s="10"/>
      <c r="D12" s="10"/>
      <c r="E12" s="10"/>
      <c r="J12" s="6"/>
      <c r="K12" s="35"/>
      <c r="L12" s="6"/>
    </row>
    <row r="13" spans="1:15" x14ac:dyDescent="0.25">
      <c r="B13" s="9"/>
      <c r="C13" s="11"/>
      <c r="D13" s="12"/>
      <c r="E13" s="13"/>
      <c r="F13" s="57" t="b">
        <f>IF(C13=1.16,TRUE,FALSE)</f>
        <v>0</v>
      </c>
      <c r="J13" s="6" t="s">
        <v>105</v>
      </c>
      <c r="K13" s="6" t="s">
        <v>120</v>
      </c>
    </row>
    <row r="14" spans="1:15" x14ac:dyDescent="0.25">
      <c r="B14" s="9"/>
      <c r="C14" s="11"/>
      <c r="D14" s="12"/>
      <c r="E14" s="13"/>
      <c r="F14" s="57" t="b">
        <f>IF(C14=1.56,TRUE,FALSE)</f>
        <v>0</v>
      </c>
    </row>
    <row r="15" spans="1:15" x14ac:dyDescent="0.25">
      <c r="B15" s="9"/>
      <c r="C15" s="11"/>
      <c r="D15" s="12"/>
      <c r="E15" s="13"/>
      <c r="F15" s="57" t="b">
        <f>IF(C15=1.88,TRUE,FALSE)</f>
        <v>0</v>
      </c>
      <c r="J15" s="51"/>
      <c r="K15" s="55"/>
    </row>
    <row r="16" spans="1:15" x14ac:dyDescent="0.25">
      <c r="J16" s="24"/>
      <c r="K16" s="27"/>
      <c r="L16" s="46"/>
    </row>
    <row r="17" spans="2:13" x14ac:dyDescent="0.25">
      <c r="B17" s="6" t="s">
        <v>70</v>
      </c>
    </row>
    <row r="18" spans="2:13" x14ac:dyDescent="0.25">
      <c r="B18" t="s">
        <v>71</v>
      </c>
      <c r="J18" s="24"/>
      <c r="K18" s="12"/>
      <c r="M18" s="57" t="b">
        <f>IF(K18=5%,TRUE,FALSE)</f>
        <v>0</v>
      </c>
    </row>
    <row r="19" spans="2:13" x14ac:dyDescent="0.25">
      <c r="B19" s="24"/>
      <c r="C19" s="27"/>
      <c r="D19" s="30"/>
      <c r="E19" s="57" t="b">
        <f>IF(D19=G19,TRUE,FALSE)</f>
        <v>0</v>
      </c>
      <c r="G19" s="73">
        <v>9433.5751184351102</v>
      </c>
      <c r="J19" s="9"/>
      <c r="K19" s="9"/>
      <c r="L19" s="46"/>
    </row>
    <row r="20" spans="2:13" x14ac:dyDescent="0.25">
      <c r="E20" s="57"/>
    </row>
    <row r="21" spans="2:13" x14ac:dyDescent="0.25">
      <c r="B21" t="s">
        <v>72</v>
      </c>
      <c r="E21" s="57"/>
      <c r="J21" s="47"/>
      <c r="K21" s="54"/>
      <c r="M21" s="57" t="b">
        <f>IF(K21=15%,TRUE,FALSE)</f>
        <v>0</v>
      </c>
    </row>
    <row r="22" spans="2:13" x14ac:dyDescent="0.25">
      <c r="B22" s="24"/>
      <c r="C22" s="27"/>
      <c r="D22" s="11"/>
      <c r="E22" s="57" t="b">
        <f>IF(D22=G22,TRUE,FALSE)</f>
        <v>0</v>
      </c>
      <c r="G22" s="74">
        <v>5.4375</v>
      </c>
      <c r="J22" s="9"/>
      <c r="K22" s="9"/>
      <c r="L22" s="46"/>
    </row>
    <row r="23" spans="2:13" x14ac:dyDescent="0.25">
      <c r="B23" s="24"/>
      <c r="C23" s="27"/>
      <c r="D23" s="15"/>
      <c r="E23" s="57"/>
    </row>
    <row r="24" spans="2:13" x14ac:dyDescent="0.25">
      <c r="B24" s="24"/>
      <c r="C24" s="27"/>
      <c r="D24" s="30"/>
      <c r="E24" s="57" t="b">
        <f>IF(D24=G24,TRUE,FALSE)</f>
        <v>0</v>
      </c>
      <c r="G24" s="73">
        <v>24634.040370132934</v>
      </c>
    </row>
    <row r="25" spans="2:13" x14ac:dyDescent="0.25">
      <c r="E25" s="57"/>
    </row>
    <row r="26" spans="2:13" x14ac:dyDescent="0.25">
      <c r="B26" t="s">
        <v>73</v>
      </c>
      <c r="E26" s="57"/>
    </row>
    <row r="27" spans="2:13" x14ac:dyDescent="0.25">
      <c r="B27" s="24"/>
      <c r="C27" s="27"/>
      <c r="D27" s="11"/>
      <c r="E27" s="57" t="b">
        <f>IF(D27=G27,TRUE,FALSE)</f>
        <v>0</v>
      </c>
      <c r="G27" s="74">
        <v>0.4375</v>
      </c>
    </row>
    <row r="28" spans="2:13" x14ac:dyDescent="0.25">
      <c r="B28" s="24"/>
      <c r="C28" s="27"/>
      <c r="D28" s="15"/>
      <c r="E28" s="57"/>
    </row>
    <row r="29" spans="2:13" x14ac:dyDescent="0.25">
      <c r="B29" s="24"/>
      <c r="C29" s="27"/>
      <c r="D29" s="30"/>
      <c r="E29" s="57" t="b">
        <f>IF(D29=G29,TRUE,FALSE)</f>
        <v>0</v>
      </c>
      <c r="G29" s="73">
        <v>3528.3155260856824</v>
      </c>
    </row>
  </sheetData>
  <sheetProtection algorithmName="SHA-512" hashValue="hkEVVnuIuGTHRU53uy1NsiCAKmvyhkuzMoeoguLY5bXZE/kvvtVMq1PP6FlO+gg3cnAngWYcnVefLPGh/wPUuw==" saltValue="s5P7RnSUBcH7bT+eoLiQRw==" spinCount="100000" sheet="1" objects="1" scenarios="1"/>
  <protectedRanges>
    <protectedRange sqref="J6" name="Range2_5"/>
    <protectedRange sqref="K7:O8" name="Range3_5"/>
    <protectedRange sqref="C13:E15" name="Range1_1"/>
    <protectedRange sqref="D19" name="Range2_1"/>
    <protectedRange sqref="D24" name="Range4_2"/>
    <protectedRange sqref="D22" name="Range3_1"/>
    <protectedRange sqref="D29" name="Range6_2"/>
    <protectedRange sqref="D27" name="Range5_3"/>
    <protectedRange sqref="L5" name="Range5_4"/>
    <protectedRange sqref="D5:H5" name="FreeCashFlow_2"/>
  </protectedRanges>
  <dataValidations count="1">
    <dataValidation type="list" allowBlank="1" showInputMessage="1" showErrorMessage="1" sqref="L10:L12 L5">
      <formula1>ACCEPT</formula1>
    </dataValidation>
  </dataValidation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4" r:id="rId4" name="Button 4">
              <controlPr defaultSize="0" print="0" autoFill="0" autoPict="0" macro="[0]!Macro7">
                <anchor moveWithCells="1">
                  <from>
                    <xdr:col>3</xdr:col>
                    <xdr:colOff>828675</xdr:colOff>
                    <xdr:row>0</xdr:row>
                    <xdr:rowOff>19050</xdr:rowOff>
                  </from>
                  <to>
                    <xdr:col>5</xdr:col>
                    <xdr:colOff>647700</xdr:colOff>
                    <xdr:row>1</xdr:row>
                    <xdr:rowOff>133350</xdr:rowOff>
                  </to>
                </anchor>
              </controlPr>
            </control>
          </mc:Choice>
        </mc:AlternateContent>
        <mc:AlternateContent xmlns:mc="http://schemas.openxmlformats.org/markup-compatibility/2006">
          <mc:Choice Requires="x14">
            <control shapeId="5126" r:id="rId5" name="Button 6">
              <controlPr defaultSize="0" print="0" autoFill="0" autoPict="0" macro="[0]!Macro8">
                <anchor moveWithCells="1">
                  <from>
                    <xdr:col>12</xdr:col>
                    <xdr:colOff>66675</xdr:colOff>
                    <xdr:row>0</xdr:row>
                    <xdr:rowOff>85725</xdr:rowOff>
                  </from>
                  <to>
                    <xdr:col>13</xdr:col>
                    <xdr:colOff>219075</xdr:colOff>
                    <xdr:row>1</xdr:row>
                    <xdr:rowOff>133350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9267F6D1A260A4394C18F5AF72445EA" ma:contentTypeVersion="3" ma:contentTypeDescription="Create a new document." ma:contentTypeScope="" ma:versionID="d6a723735a0ade9a92961b83aee31dda">
  <xsd:schema xmlns:xsd="http://www.w3.org/2001/XMLSchema" xmlns:xs="http://www.w3.org/2001/XMLSchema" xmlns:p="http://schemas.microsoft.com/office/2006/metadata/properties" targetNamespace="http://schemas.microsoft.com/office/2006/metadata/properties" ma:root="true" ma:fieldsID="e345bd7673956a623930e5662e321f3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185F813-BF5D-4FAA-8A7D-659DBC8D2B1B}">
  <ds:schemaRefs>
    <ds:schemaRef ds:uri="http://schemas.microsoft.com/office/2006/metadata/properties"/>
    <ds:schemaRef ds:uri="http://purl.org/dc/elements/1.1/"/>
    <ds:schemaRef ds:uri="http://purl.org/dc/terms/"/>
    <ds:schemaRef ds:uri="http://schemas.openxmlformats.org/package/2006/metadata/core-properties"/>
    <ds:schemaRef ds:uri="http://schemas.microsoft.com/office/2006/documentManagement/types"/>
    <ds:schemaRef ds:uri="http://purl.org/dc/dcmitype/"/>
    <ds:schemaRef ds:uri="http://www.w3.org/XML/1998/namespace"/>
    <ds:schemaRef ds:uri="http://schemas.microsoft.com/office/infopath/2007/PartnerControls"/>
  </ds:schemaRefs>
</ds:datastoreItem>
</file>

<file path=customXml/itemProps2.xml><?xml version="1.0" encoding="utf-8"?>
<ds:datastoreItem xmlns:ds="http://schemas.openxmlformats.org/officeDocument/2006/customXml" ds:itemID="{0768B55E-AFB2-422F-9E6A-B73EB931A0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2DE82878-ADBD-4BF0-96CF-B7E184F31A0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1 Time Value of Money</vt:lpstr>
      <vt:lpstr>10%</vt:lpstr>
      <vt:lpstr>2 Stock and Bond Valuation</vt:lpstr>
      <vt:lpstr>3 Capital Budgeting Data</vt:lpstr>
      <vt:lpstr>4 Interest Rate Implications</vt:lpstr>
      <vt:lpstr>SUMMARY</vt:lpstr>
      <vt:lpstr>ACCEPT</vt:lpstr>
      <vt:lpstr>NPV</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Hannah Mclean</dc:creator>
  <cp:lastModifiedBy>Ana Pancine</cp:lastModifiedBy>
  <dcterms:created xsi:type="dcterms:W3CDTF">2015-07-28T01:29:50Z</dcterms:created>
  <dcterms:modified xsi:type="dcterms:W3CDTF">2016-10-28T19:23:50Z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0x01010019267F6D1A260A4394C18F5AF72445EA</vt:lpwstr>
  </property>
</Properties>
</file>