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a.pancine\Desktop\School\Corporate Finance\"/>
    </mc:Choice>
  </mc:AlternateContent>
  <bookViews>
    <workbookView xWindow="0" yWindow="0" windowWidth="28800" windowHeight="12345" tabRatio="741"/>
  </bookViews>
  <sheets>
    <sheet name="1 Time Value of Money" sheetId="1" r:id="rId1"/>
    <sheet name="10%" sheetId="6" r:id="rId2"/>
    <sheet name="2 Stock and Bond Valuation" sheetId="2" r:id="rId3"/>
    <sheet name="3 Capital Budgeting Data" sheetId="3" r:id="rId4"/>
    <sheet name="4 Interest Rate Implications" sheetId="4" r:id="rId5"/>
    <sheet name="SUMMARY" sheetId="5" r:id="rId6"/>
  </sheets>
  <definedNames>
    <definedName name="ACCEPT">'3 Capital Budgeting Data'!$N$2:$N$3</definedName>
    <definedName name="NPV">'3 Capital Budgeting Data'!$N$2:$N$3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8" i="6" l="1"/>
  <c r="E8" i="6"/>
  <c r="F8" i="6"/>
  <c r="G8" i="6"/>
  <c r="H8" i="6"/>
  <c r="D11" i="6"/>
  <c r="M21" i="5"/>
  <c r="M18" i="5"/>
  <c r="F15" i="5"/>
  <c r="F14" i="5"/>
  <c r="F13" i="5"/>
  <c r="H8" i="5"/>
  <c r="G8" i="5"/>
  <c r="F8" i="5"/>
  <c r="E8" i="5"/>
  <c r="D8" i="5"/>
  <c r="M11" i="5"/>
  <c r="M10" i="5"/>
  <c r="E29" i="5"/>
  <c r="E27" i="5"/>
  <c r="E24" i="5"/>
  <c r="E22" i="5"/>
  <c r="E19" i="5"/>
  <c r="C36" i="4"/>
  <c r="D36" i="4"/>
  <c r="E36" i="4"/>
  <c r="F36" i="4"/>
  <c r="G36" i="4"/>
  <c r="C39" i="4"/>
  <c r="C23" i="4"/>
  <c r="D23" i="4"/>
  <c r="E23" i="4"/>
  <c r="F23" i="4"/>
  <c r="G23" i="4"/>
  <c r="C26" i="4"/>
  <c r="C10" i="4"/>
  <c r="D10" i="4"/>
  <c r="E10" i="4"/>
  <c r="F10" i="4"/>
  <c r="G10" i="4"/>
  <c r="C13" i="4"/>
  <c r="H8" i="1"/>
  <c r="G8" i="1"/>
  <c r="F8" i="1"/>
  <c r="E8" i="1"/>
  <c r="D8" i="1"/>
  <c r="C9" i="3"/>
  <c r="C10" i="3"/>
  <c r="C11" i="3"/>
  <c r="C12" i="3"/>
  <c r="C13" i="3"/>
  <c r="C14" i="3"/>
  <c r="D9" i="3"/>
  <c r="D10" i="3"/>
  <c r="D11" i="3"/>
  <c r="D12" i="3"/>
  <c r="D13" i="3"/>
  <c r="D14" i="3"/>
  <c r="F9" i="3"/>
  <c r="F10" i="3"/>
  <c r="F11" i="3"/>
  <c r="F12" i="3"/>
  <c r="F13" i="3"/>
  <c r="F14" i="3"/>
  <c r="G9" i="3"/>
  <c r="G10" i="3"/>
  <c r="G11" i="3"/>
  <c r="G12" i="3"/>
  <c r="G13" i="3"/>
  <c r="G14" i="3"/>
  <c r="B14" i="3"/>
  <c r="E9" i="3"/>
  <c r="E10" i="3"/>
  <c r="E11" i="3"/>
  <c r="E12" i="3"/>
  <c r="E13" i="3"/>
  <c r="E14" i="3"/>
  <c r="C19" i="3"/>
  <c r="C17" i="3"/>
  <c r="C16" i="2"/>
  <c r="C31" i="2"/>
  <c r="F9" i="2"/>
  <c r="F16" i="2"/>
  <c r="F23" i="2"/>
  <c r="D31" i="2"/>
  <c r="F8" i="2"/>
  <c r="F15" i="2"/>
  <c r="F22" i="2"/>
  <c r="D30" i="2"/>
  <c r="E31" i="2"/>
  <c r="C15" i="2"/>
  <c r="C30" i="2"/>
  <c r="F7" i="2"/>
  <c r="F14" i="2"/>
  <c r="F21" i="2"/>
  <c r="D29" i="2"/>
  <c r="E30" i="2"/>
  <c r="C14" i="2"/>
  <c r="C29" i="2"/>
  <c r="C21" i="2"/>
  <c r="D21" i="2"/>
  <c r="C22" i="2"/>
  <c r="C23" i="2"/>
  <c r="E15" i="2"/>
  <c r="E22" i="2"/>
  <c r="E16" i="2"/>
  <c r="E23" i="2"/>
  <c r="E14" i="2"/>
  <c r="E21" i="2"/>
  <c r="D14" i="2"/>
  <c r="D15" i="2"/>
  <c r="D16" i="2"/>
  <c r="D11" i="1"/>
  <c r="D22" i="2"/>
  <c r="D23" i="2"/>
</calcChain>
</file>

<file path=xl/sharedStrings.xml><?xml version="1.0" encoding="utf-8"?>
<sst xmlns="http://schemas.openxmlformats.org/spreadsheetml/2006/main" count="213" uniqueCount="134">
  <si>
    <t>Interest Rate</t>
  </si>
  <si>
    <t>FCF1</t>
  </si>
  <si>
    <t>FCF2</t>
  </si>
  <si>
    <t>FCF3</t>
  </si>
  <si>
    <t>FCF4</t>
  </si>
  <si>
    <t>FCF5</t>
  </si>
  <si>
    <t>Initial Outlay</t>
  </si>
  <si>
    <t>NPV</t>
  </si>
  <si>
    <t>IRR</t>
  </si>
  <si>
    <t>Explanations:</t>
  </si>
  <si>
    <t>Pv=FVN/(1+I)^N</t>
  </si>
  <si>
    <t>PV(I,N,0,FV)</t>
  </si>
  <si>
    <t>*In millions</t>
  </si>
  <si>
    <t xml:space="preserve"> </t>
  </si>
  <si>
    <t>Amounts*</t>
  </si>
  <si>
    <t>Total Pv*</t>
  </si>
  <si>
    <t>Pv*</t>
  </si>
  <si>
    <t>Year</t>
  </si>
  <si>
    <t>Cash Div/share ($)</t>
  </si>
  <si>
    <t>Dividend from Financial Statements:</t>
  </si>
  <si>
    <t>Dividend Yield</t>
  </si>
  <si>
    <t>2. The dividend yield if the firm doubled it's outstanding shares</t>
  </si>
  <si>
    <t>3. The rate of return on equity (i.e., the cost of stock) based on the new dividend yield you calculated above</t>
  </si>
  <si>
    <t>1. The new value of the bond if overall rates in the market increased by 5%</t>
  </si>
  <si>
    <t>2. The new value of the bond if overall rates in the market decreased by 5%</t>
  </si>
  <si>
    <t>Stock Price</t>
  </si>
  <si>
    <t>1. Stock Valuation - The new dividend yield if the company increased its dividend per share by 1.75</t>
  </si>
  <si>
    <t>Return on Investment</t>
  </si>
  <si>
    <r>
      <rPr>
        <b/>
        <sz val="12"/>
        <color theme="1"/>
        <rFont val="Calibri"/>
        <family val="2"/>
        <scheme val="minor"/>
      </rPr>
      <t>Return on Equity</t>
    </r>
    <r>
      <rPr>
        <sz val="12"/>
        <color theme="1"/>
        <rFont val="Calibri"/>
        <family val="2"/>
        <scheme val="minor"/>
      </rPr>
      <t xml:space="preserve"> - for this part we will modify and use return on investment instead. 
Using the formula: Dividend (+1.75)/+[(new price-old price)/old price]
Note - for this part, you will need extra price from 2011
</t>
    </r>
  </si>
  <si>
    <t>Stockholder's Equity (in millions)</t>
  </si>
  <si>
    <t>Stockholder's Equity (in millions) -doubled</t>
  </si>
  <si>
    <t>SUMMARY TAB</t>
  </si>
  <si>
    <t>Curent Bonds from Financial Statements</t>
  </si>
  <si>
    <t>PV</t>
  </si>
  <si>
    <t>N</t>
  </si>
  <si>
    <t>Present Value</t>
  </si>
  <si>
    <t>Periods</t>
  </si>
  <si>
    <t>Interest</t>
  </si>
  <si>
    <t>I</t>
  </si>
  <si>
    <t>Payments</t>
  </si>
  <si>
    <t>PMT</t>
  </si>
  <si>
    <t>This bond does not make regular PMT except for interest</t>
  </si>
  <si>
    <t>FV</t>
  </si>
  <si>
    <t>Future Value</t>
  </si>
  <si>
    <t>Please adjust interest</t>
  </si>
  <si>
    <t>Semi-annual payment: 2036-2016 = 20 years *2 = 40 periods</t>
  </si>
  <si>
    <t>Interest paid semi-annually: 5.875%/2 = 2.9375%</t>
  </si>
  <si>
    <t>5.875%+5% = 10.875%/2 = 5.4375%</t>
  </si>
  <si>
    <t>5.875%-5% = 0.875%/2 = 0.4375%</t>
  </si>
  <si>
    <t xml:space="preserve">3. The value of the bond if overall rates in the market stayed exactly the same </t>
  </si>
  <si>
    <t xml:space="preserve"> - identical to CURRENT BOND VALUE from Financial Statements</t>
  </si>
  <si>
    <t>FV (Future Value Calculation) - using Excel Formula</t>
  </si>
  <si>
    <t>Step 1) Select Formulas</t>
  </si>
  <si>
    <t>Step 2) Click on Financial</t>
  </si>
  <si>
    <t>Step 3) Select FV - you will see the formula below</t>
  </si>
  <si>
    <t>Step 4) Enter the following:</t>
  </si>
  <si>
    <t>Rate - enter as decimal, no % sign. Example: 4% as 0.04</t>
  </si>
  <si>
    <t>Pmt - payment. Our example does not assume regular payments disbursing principal</t>
  </si>
  <si>
    <t>Pv - Present value. Enter as negative. Example $1,000 should be -1000</t>
  </si>
  <si>
    <t>Type - leave blank</t>
  </si>
  <si>
    <t>CALCULATING FV (please see help on the right hand side)</t>
  </si>
  <si>
    <t>Nper - number of period. Enter a whole number. Example 50</t>
  </si>
  <si>
    <t xml:space="preserve">Cash Div/Share ($) </t>
  </si>
  <si>
    <t>Cash Div/Share ($) +1.75</t>
  </si>
  <si>
    <t>1. Time Value of Money</t>
  </si>
  <si>
    <t>PART II: BOND ISSUANCE</t>
  </si>
  <si>
    <t>PART I: STOCK VALUATION</t>
  </si>
  <si>
    <t>TAB 1</t>
  </si>
  <si>
    <t>TAB 2</t>
  </si>
  <si>
    <t>PART I - Stock Valuation</t>
  </si>
  <si>
    <t>PART II - Bond Issuance</t>
  </si>
  <si>
    <t>Current Bond Value</t>
  </si>
  <si>
    <t>New Value +5%</t>
  </si>
  <si>
    <t>New Value - 5%</t>
  </si>
  <si>
    <t>Capital Budgeting Example Set-up</t>
  </si>
  <si>
    <t>ACCEPT</t>
  </si>
  <si>
    <t>REJECT</t>
  </si>
  <si>
    <t xml:space="preserve"> - Operating Costs (excluding Depreciation)</t>
  </si>
  <si>
    <t xml:space="preserve"> - Depreciation Rate of 20%</t>
  </si>
  <si>
    <t>CF3: $65,500,000</t>
  </si>
  <si>
    <t>Income Tax @35%</t>
  </si>
  <si>
    <t xml:space="preserve"> - Income Tax (Rate 35%)</t>
  </si>
  <si>
    <t>After-Tax EBIT</t>
  </si>
  <si>
    <t xml:space="preserve"> + Depreciation</t>
  </si>
  <si>
    <t>Operating Income (EBIT)</t>
  </si>
  <si>
    <t>Operating Costs</t>
  </si>
  <si>
    <t>CF1</t>
  </si>
  <si>
    <t>CF2</t>
  </si>
  <si>
    <t>CF3</t>
  </si>
  <si>
    <t>CF4</t>
  </si>
  <si>
    <t>CF5</t>
  </si>
  <si>
    <t>CF1: $25,500,000</t>
  </si>
  <si>
    <t>CF2: $25,500,000</t>
  </si>
  <si>
    <t>CF3: $25,500,000</t>
  </si>
  <si>
    <t>CF4: $25,500,000</t>
  </si>
  <si>
    <t>CF5: $25,500,000</t>
  </si>
  <si>
    <t>WACC</t>
  </si>
  <si>
    <t>CF1: $50,000,000</t>
  </si>
  <si>
    <t>CF2: $45,000,000</t>
  </si>
  <si>
    <t>CF4: $55,000,00</t>
  </si>
  <si>
    <t>CF5: $25,000,000</t>
  </si>
  <si>
    <t>Cash Flow (which in this case are Sales Revenues) are as follows:</t>
  </si>
  <si>
    <t>Initial investment $65,000,000</t>
  </si>
  <si>
    <t>Straight-line Depreciation of 20%</t>
  </si>
  <si>
    <t>WACC of 8% approximately. (HD WACC was about 8.83%)</t>
  </si>
  <si>
    <t>TAB 4</t>
  </si>
  <si>
    <t>Capital Budgeting</t>
  </si>
  <si>
    <r>
      <rPr>
        <b/>
        <sz val="12"/>
        <color theme="1"/>
        <rFont val="Calibri"/>
        <family val="2"/>
        <scheme val="minor"/>
      </rPr>
      <t>WACC</t>
    </r>
    <r>
      <rPr>
        <sz val="12"/>
        <color theme="1"/>
        <rFont val="Calibri"/>
        <family val="2"/>
        <scheme val="minor"/>
      </rPr>
      <t>- why do we use WACC rate for new projects? If the project doesn’t earn more percent than WACC, the corporation should abandon the project and invest money elsewhere.</t>
    </r>
  </si>
  <si>
    <t>Explanation:</t>
  </si>
  <si>
    <r>
      <rPr>
        <b/>
        <sz val="12"/>
        <color theme="1"/>
        <rFont val="Calibri"/>
        <family val="2"/>
        <scheme val="minor"/>
      </rPr>
      <t xml:space="preserve">Initial Investment </t>
    </r>
    <r>
      <rPr>
        <sz val="12"/>
        <color theme="1"/>
        <rFont val="Calibri"/>
        <family val="2"/>
        <scheme val="minor"/>
      </rPr>
      <t>- always negative. Corporation has to invest money ("lose" it till they recover it via sales) in order to gain future benefit.</t>
    </r>
  </si>
  <si>
    <t>TAB 3</t>
  </si>
  <si>
    <t>Cash Flows</t>
  </si>
  <si>
    <t>Cash Flows (Sales)</t>
  </si>
  <si>
    <t>1. Original Scenario from Milestone 1 - Time Value of Money using 8%</t>
  </si>
  <si>
    <t xml:space="preserve">We will use Milestone 1 and Time Value of Money for Milesotne 4 analysis </t>
  </si>
  <si>
    <t>Two cases will be analyzed:</t>
  </si>
  <si>
    <t>Lower Interest Rate at 5%</t>
  </si>
  <si>
    <t>Higher Interest Rate at 15%</t>
  </si>
  <si>
    <t>2. Change in interest rate and its implications - Lower Interest Rate (5%)</t>
  </si>
  <si>
    <t>3. Change in interest rate and its implications - Higher Interest Rate (15%)</t>
  </si>
  <si>
    <t>Interest Rate Implication</t>
  </si>
  <si>
    <r>
      <rPr>
        <b/>
        <sz val="12"/>
        <color theme="1"/>
        <rFont val="Calibri"/>
        <family val="2"/>
        <scheme val="minor"/>
      </rPr>
      <t>FCF (Free Cash Flow)</t>
    </r>
    <r>
      <rPr>
        <sz val="12"/>
        <color theme="1"/>
        <rFont val="Calibri"/>
        <family val="2"/>
        <scheme val="minor"/>
      </rPr>
      <t xml:space="preserve"> is the net change in cash generated by the operations of a business during a reporting period, minus cash outlays for working capital, capital expenditures, and dividends during the same period. FCF is a strong indicator of the ability of an entity to remain in business.
Note: For this part of the Milestone, please use page 43 -capital lease payments under property. </t>
    </r>
  </si>
  <si>
    <r>
      <rPr>
        <b/>
        <sz val="12"/>
        <color theme="1"/>
        <rFont val="Calibri"/>
        <family val="2"/>
        <scheme val="minor"/>
      </rPr>
      <t xml:space="preserve">Interest Rate (given) </t>
    </r>
    <r>
      <rPr>
        <sz val="12"/>
        <color theme="1"/>
        <rFont val="Calibri"/>
        <family val="2"/>
        <scheme val="minor"/>
      </rPr>
      <t>- in our scenario we will use 8% interest rate. This rate is an implicit rate,  the average rate that lease consumers face on the current market.</t>
    </r>
  </si>
  <si>
    <r>
      <rPr>
        <b/>
        <sz val="12"/>
        <color theme="1"/>
        <rFont val="Calibri"/>
        <family val="2"/>
        <scheme val="minor"/>
      </rPr>
      <t xml:space="preserve">Cash Dividend </t>
    </r>
    <r>
      <rPr>
        <sz val="12"/>
        <color theme="1"/>
        <rFont val="Calibri"/>
        <family val="2"/>
        <scheme val="minor"/>
      </rPr>
      <t xml:space="preserve">- distribution of the corporate income. They are not expenses and do not appear on Income Statement.
Note: Part of Statement of Cash Flows.  Please be aware that corporation list 5 years worth of dividends, but only 3 years worth of dividend yields (Hint: research F-1).
</t>
    </r>
  </si>
  <si>
    <r>
      <rPr>
        <b/>
        <sz val="12"/>
        <color theme="1"/>
        <rFont val="Calibri"/>
        <family val="2"/>
        <scheme val="minor"/>
      </rPr>
      <t xml:space="preserve">Dividend Yield </t>
    </r>
    <r>
      <rPr>
        <sz val="12"/>
        <color theme="1"/>
        <rFont val="Calibri"/>
        <family val="2"/>
        <scheme val="minor"/>
      </rPr>
      <t>- annual cash dividend per share of common stock divided by the market price of a share of the common stock (Dividend yield = Annual Dividend/Current Stock Price).
Note: Current Stock Price is not part of the Financial Statements - calculated using the formula for Dividend Yield</t>
    </r>
  </si>
  <si>
    <r>
      <rPr>
        <b/>
        <sz val="12"/>
        <color theme="1"/>
        <rFont val="Calibri"/>
        <family val="2"/>
        <scheme val="minor"/>
      </rPr>
      <t>Stockholder's Equity</t>
    </r>
    <r>
      <rPr>
        <sz val="12"/>
        <color theme="1"/>
        <rFont val="Calibri"/>
        <family val="2"/>
        <scheme val="minor"/>
      </rPr>
      <t xml:space="preserve"> = Assets - Liabilities. Equity represents the ownership of a corporation. Owners are called stockholders because they hold stocks or shares of the company. The goal of every corporate manager is to generate shareholder value. </t>
    </r>
  </si>
  <si>
    <r>
      <rPr>
        <b/>
        <sz val="12"/>
        <color theme="1"/>
        <rFont val="Calibri"/>
        <family val="2"/>
        <scheme val="minor"/>
      </rPr>
      <t xml:space="preserve">Bonds </t>
    </r>
    <r>
      <rPr>
        <sz val="12"/>
        <color theme="1"/>
        <rFont val="Calibri"/>
        <family val="2"/>
        <scheme val="minor"/>
      </rPr>
      <t xml:space="preserve">are a long-term debt for corporations. In buying a bond, the bond-owner lends money to the corporation. The borrower promises to pay specified interest rate during the loan's lifetime and at the maturity, payback the entire principle.  In case of bankruptcy, bondholders have priority over stockholders for any payment distributions. 
Bonds = Debt...............Bondholders = Lenders
Stock=Equity................Stockholders = Owners
</t>
    </r>
  </si>
  <si>
    <r>
      <rPr>
        <b/>
        <sz val="12"/>
        <color theme="1"/>
        <rFont val="Calibri"/>
        <family val="2"/>
        <scheme val="minor"/>
      </rPr>
      <t>Calculation:</t>
    </r>
    <r>
      <rPr>
        <sz val="12"/>
        <color theme="1"/>
        <rFont val="Calibri"/>
        <family val="2"/>
        <scheme val="minor"/>
      </rPr>
      <t xml:space="preserve"> Please note that for bond calculations, only one bond is used and we assume February 1, 2015 is the origination date. The value on financial statements will be considered PV (Present value). Maturity date is assumed for February 2036 and payment schedule adjusted to February 1 and August 1.  
</t>
    </r>
    <r>
      <rPr>
        <b/>
        <sz val="12"/>
        <color theme="1"/>
        <rFont val="Calibri"/>
        <family val="2"/>
        <scheme val="minor"/>
      </rPr>
      <t>The following Senior-Note was used from page 44:</t>
    </r>
    <r>
      <rPr>
        <sz val="12"/>
        <color theme="1"/>
        <rFont val="Calibri"/>
        <family val="2"/>
        <scheme val="minor"/>
      </rPr>
      <t xml:space="preserve">
5.875% Senior Notes; due December 16, 2036; interest payable semi-annually on June 16 and December 16
PV (Present Value) = 2,963 million
</t>
    </r>
    <r>
      <rPr>
        <b/>
        <sz val="12"/>
        <color theme="1"/>
        <rFont val="Calibri"/>
        <family val="2"/>
        <scheme val="minor"/>
      </rPr>
      <t xml:space="preserve">Our scenario: </t>
    </r>
    <r>
      <rPr>
        <sz val="12"/>
        <color theme="1"/>
        <rFont val="Calibri"/>
        <family val="2"/>
        <scheme val="minor"/>
      </rPr>
      <t xml:space="preserve">5.875% Senior Notes; due February 1, 2036; interest payable semi-annually on February 1 and August 1
PV (Present Value) = 2,963 million
</t>
    </r>
  </si>
  <si>
    <r>
      <t xml:space="preserve">Milestone One: Time Value of Money </t>
    </r>
    <r>
      <rPr>
        <sz val="12"/>
        <color theme="1"/>
        <rFont val="Calibri"/>
        <family val="2"/>
        <scheme val="minor"/>
      </rPr>
      <t xml:space="preserve">(please fill in shaded YELLOW cells, row 6D - 6H) </t>
    </r>
  </si>
  <si>
    <r>
      <t xml:space="preserve">Milestone Two: Stock Valuation and Bond Issuance </t>
    </r>
    <r>
      <rPr>
        <sz val="12"/>
        <color theme="1"/>
        <rFont val="Calibri"/>
        <family val="2"/>
        <scheme val="minor"/>
      </rPr>
      <t>(please fill in the shaded YELLOW cells)</t>
    </r>
    <r>
      <rPr>
        <b/>
        <sz val="12"/>
        <color theme="1"/>
        <rFont val="Calibri"/>
        <family val="2"/>
        <scheme val="minor"/>
      </rPr>
      <t xml:space="preserve"> </t>
    </r>
  </si>
  <si>
    <r>
      <t xml:space="preserve">Milestone Three: Capital Budgeting Data </t>
    </r>
    <r>
      <rPr>
        <sz val="12"/>
        <color theme="1"/>
        <rFont val="Calibri"/>
        <family val="2"/>
        <scheme val="minor"/>
      </rPr>
      <t xml:space="preserve">(please fill in the shaded YELLOW cells) </t>
    </r>
  </si>
  <si>
    <t>Select from drop downs below:</t>
  </si>
  <si>
    <r>
      <t xml:space="preserve">Milestone Four: Interest Rate Implication </t>
    </r>
    <r>
      <rPr>
        <sz val="12"/>
        <color theme="1"/>
        <rFont val="Calibri"/>
        <family val="2"/>
        <scheme val="minor"/>
      </rPr>
      <t xml:space="preserve">(please fill in shaded YELLOW cells) </t>
    </r>
  </si>
  <si>
    <t>Note: This process could take up to 20 seconds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</si>
</sst>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3" formatCode="_(* #,##0.00_);_(* \(#,##0.00\);_(* &quot;-&quot;??_);_(@_)"/>
    <numFmt numFmtId="164" formatCode="0.00_);[Red]\(0.00\)"/>
    <numFmt numFmtId="165" formatCode="_(* #,##0_);_(* \(#,##0\);_(* &quot;-&quot;??_);_(@_)"/>
    <numFmt numFmtId="166" formatCode="&quot;$&quot;#,##0"/>
  </numFmts>
  <fonts count="13" x14ac:knownFonts="1">
    <font>
      <sz val="12"/>
      <color theme="1"/>
      <name val="Calibri"/>
      <family val="2"/>
      <scheme val="minor"/>
    </font>
    <font>
      <sz val="11"/>
      <color theme="1"/>
      <name val="Calibri"/>
      <family val="2"/>
      <scheme val="minor"/>
    </font>
    <font>
      <b/>
      <sz val="12"/>
      <color theme="1"/>
      <name val="Calibri"/>
      <family val="2"/>
      <scheme val="minor"/>
    </font>
    <font>
      <u/>
      <sz val="12"/>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sz val="9"/>
      <color theme="1"/>
      <name val="Calibri"/>
      <family val="2"/>
      <scheme val="minor"/>
    </font>
    <font>
      <u/>
      <sz val="12"/>
      <color theme="1"/>
      <name val="Calibri"/>
      <family val="2"/>
      <scheme val="minor"/>
    </font>
    <font>
      <sz val="12"/>
      <color theme="3" tint="0.39997558519241921"/>
      <name val="Calibri"/>
      <family val="2"/>
      <scheme val="minor"/>
    </font>
    <font>
      <sz val="12"/>
      <color rgb="FFC00000"/>
      <name val="Calibri"/>
      <family val="2"/>
      <scheme val="minor"/>
    </font>
    <font>
      <sz val="12"/>
      <color rgb="FF0000FF"/>
      <name val="Calibri"/>
      <family val="2"/>
    </font>
    <font>
      <sz val="12"/>
      <color rgb="FFFF0000"/>
      <name val="Calibri"/>
      <family val="2"/>
    </font>
  </fonts>
  <fills count="5">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4" fillId="0" borderId="0" applyFont="0" applyFill="0" applyBorder="0" applyAlignment="0" applyProtection="0"/>
  </cellStyleXfs>
  <cellXfs count="84">
    <xf numFmtId="0" fontId="0" fillId="0" borderId="0" xfId="0"/>
    <xf numFmtId="0" fontId="2" fillId="0" borderId="0" xfId="0" applyFont="1" applyAlignment="1"/>
    <xf numFmtId="8" fontId="0" fillId="0" borderId="0" xfId="0" applyNumberFormat="1"/>
    <xf numFmtId="0" fontId="3" fillId="0" borderId="0" xfId="0" applyFont="1"/>
    <xf numFmtId="0" fontId="0" fillId="0" borderId="0" xfId="0" applyFont="1" applyAlignment="1">
      <alignment horizontal="center" vertical="center"/>
    </xf>
    <xf numFmtId="0" fontId="0" fillId="0" borderId="0" xfId="0" applyAlignment="1">
      <alignment wrapText="1"/>
    </xf>
    <xf numFmtId="0" fontId="2" fillId="0" borderId="0" xfId="0" applyFont="1"/>
    <xf numFmtId="0" fontId="0" fillId="3" borderId="0" xfId="0" applyFill="1"/>
    <xf numFmtId="10" fontId="0" fillId="0" borderId="0" xfId="0" applyNumberFormat="1"/>
    <xf numFmtId="0" fontId="0" fillId="0" borderId="1" xfId="0" applyBorder="1"/>
    <xf numFmtId="0" fontId="0" fillId="0" borderId="1" xfId="0" applyBorder="1" applyAlignment="1">
      <alignment vertical="top" wrapText="1"/>
    </xf>
    <xf numFmtId="0" fontId="0" fillId="2" borderId="1" xfId="0" applyFill="1" applyBorder="1"/>
    <xf numFmtId="10" fontId="0" fillId="2" borderId="1" xfId="0" applyNumberFormat="1" applyFill="1" applyBorder="1"/>
    <xf numFmtId="3" fontId="0" fillId="2" borderId="1" xfId="0" applyNumberFormat="1" applyFill="1" applyBorder="1"/>
    <xf numFmtId="0" fontId="6" fillId="0" borderId="0" xfId="0" applyFont="1" applyFill="1"/>
    <xf numFmtId="0" fontId="0" fillId="0" borderId="1" xfId="0" applyFill="1" applyBorder="1"/>
    <xf numFmtId="10" fontId="0" fillId="0" borderId="1" xfId="0" applyNumberFormat="1" applyFill="1" applyBorder="1"/>
    <xf numFmtId="3" fontId="0" fillId="0" borderId="1" xfId="0" applyNumberFormat="1" applyFill="1" applyBorder="1"/>
    <xf numFmtId="0" fontId="0" fillId="0" borderId="0" xfId="0" applyFill="1" applyBorder="1" applyAlignment="1">
      <alignment vertical="top" wrapText="1"/>
    </xf>
    <xf numFmtId="0" fontId="6" fillId="0" borderId="0" xfId="0" applyFont="1" applyFill="1" applyBorder="1"/>
    <xf numFmtId="0" fontId="0" fillId="0" borderId="1" xfId="0" applyBorder="1" applyAlignment="1">
      <alignment vertical="top"/>
    </xf>
    <xf numFmtId="10" fontId="0" fillId="0" borderId="1" xfId="0" applyNumberFormat="1" applyBorder="1"/>
    <xf numFmtId="40" fontId="0" fillId="0" borderId="0" xfId="0" applyNumberFormat="1"/>
    <xf numFmtId="0" fontId="0" fillId="0" borderId="0" xfId="0" applyFont="1"/>
    <xf numFmtId="0" fontId="0" fillId="0" borderId="1" xfId="0" applyFont="1" applyBorder="1"/>
    <xf numFmtId="8" fontId="0" fillId="0" borderId="1" xfId="0" applyNumberFormat="1" applyBorder="1"/>
    <xf numFmtId="0" fontId="1" fillId="0" borderId="0" xfId="0" applyFont="1"/>
    <xf numFmtId="0" fontId="2" fillId="0" borderId="1" xfId="0" applyFont="1" applyBorder="1"/>
    <xf numFmtId="0" fontId="1" fillId="0" borderId="0" xfId="0" applyFont="1" applyFill="1" applyBorder="1"/>
    <xf numFmtId="0" fontId="1" fillId="2" borderId="0" xfId="0" applyFont="1" applyFill="1"/>
    <xf numFmtId="8" fontId="0" fillId="2" borderId="1" xfId="0" applyNumberFormat="1" applyFill="1" applyBorder="1"/>
    <xf numFmtId="6" fontId="0" fillId="0" borderId="1" xfId="0" applyNumberFormat="1" applyFill="1" applyBorder="1"/>
    <xf numFmtId="0" fontId="7" fillId="0" borderId="0" xfId="0" applyFont="1"/>
    <xf numFmtId="0" fontId="8" fillId="0" borderId="0" xfId="0" applyFont="1"/>
    <xf numFmtId="8" fontId="2" fillId="0" borderId="0" xfId="0" applyNumberFormat="1" applyFont="1"/>
    <xf numFmtId="9" fontId="2" fillId="0" borderId="0" xfId="0" applyNumberFormat="1" applyFont="1"/>
    <xf numFmtId="6" fontId="0" fillId="2" borderId="1" xfId="0" applyNumberFormat="1" applyFill="1" applyBorder="1"/>
    <xf numFmtId="6" fontId="0" fillId="0" borderId="1" xfId="1" applyNumberFormat="1" applyFont="1" applyBorder="1"/>
    <xf numFmtId="6" fontId="0" fillId="2" borderId="1" xfId="1" applyNumberFormat="1" applyFont="1" applyFill="1" applyBorder="1"/>
    <xf numFmtId="166" fontId="0" fillId="2" borderId="1" xfId="1" applyNumberFormat="1" applyFont="1" applyFill="1" applyBorder="1"/>
    <xf numFmtId="0" fontId="0" fillId="0" borderId="3" xfId="0" applyBorder="1"/>
    <xf numFmtId="165" fontId="0" fillId="0" borderId="3" xfId="1" applyNumberFormat="1" applyFont="1" applyBorder="1"/>
    <xf numFmtId="0" fontId="0" fillId="0" borderId="2" xfId="0" applyBorder="1"/>
    <xf numFmtId="165" fontId="0" fillId="0" borderId="2" xfId="1" applyNumberFormat="1" applyFont="1" applyBorder="1"/>
    <xf numFmtId="164" fontId="5" fillId="0" borderId="1" xfId="0" applyNumberFormat="1" applyFont="1" applyBorder="1"/>
    <xf numFmtId="164" fontId="0" fillId="0" borderId="1" xfId="0" applyNumberFormat="1" applyBorder="1"/>
    <xf numFmtId="40" fontId="0" fillId="0" borderId="1" xfId="0" applyNumberFormat="1" applyBorder="1"/>
    <xf numFmtId="0" fontId="0" fillId="0" borderId="4" xfId="0" applyBorder="1"/>
    <xf numFmtId="9" fontId="0" fillId="0" borderId="1" xfId="0" applyNumberFormat="1" applyBorder="1" applyAlignment="1">
      <alignment horizontal="center"/>
    </xf>
    <xf numFmtId="0" fontId="0" fillId="0" borderId="1" xfId="0" applyFont="1" applyBorder="1" applyAlignment="1">
      <alignment horizontal="center"/>
    </xf>
    <xf numFmtId="10" fontId="0" fillId="0" borderId="1" xfId="0" applyNumberFormat="1" applyFont="1" applyBorder="1"/>
    <xf numFmtId="0" fontId="0" fillId="0" borderId="4" xfId="0" applyFont="1" applyBorder="1"/>
    <xf numFmtId="0" fontId="0" fillId="0" borderId="0" xfId="0" applyBorder="1"/>
    <xf numFmtId="10" fontId="0" fillId="0" borderId="0" xfId="0" applyNumberFormat="1" applyBorder="1"/>
    <xf numFmtId="10" fontId="0" fillId="2" borderId="4" xfId="0" applyNumberFormat="1" applyFill="1" applyBorder="1"/>
    <xf numFmtId="10" fontId="0" fillId="0" borderId="4" xfId="0" applyNumberFormat="1" applyFont="1" applyFill="1" applyBorder="1"/>
    <xf numFmtId="0" fontId="9" fillId="0" borderId="0" xfId="0" applyFont="1"/>
    <xf numFmtId="0" fontId="10" fillId="0" borderId="0" xfId="0" applyFont="1"/>
    <xf numFmtId="0" fontId="2" fillId="0" borderId="1" xfId="0" applyFont="1" applyBorder="1" applyAlignment="1">
      <alignment horizontal="center"/>
    </xf>
    <xf numFmtId="0" fontId="8" fillId="0" borderId="0" xfId="0" applyFont="1" applyAlignment="1">
      <alignment horizontal="center" vertical="center" wrapText="1"/>
    </xf>
    <xf numFmtId="0" fontId="2" fillId="2" borderId="1" xfId="0" applyFont="1" applyFill="1" applyBorder="1"/>
    <xf numFmtId="0" fontId="0" fillId="0" borderId="0" xfId="0" applyAlignment="1">
      <alignment horizontal="center"/>
    </xf>
    <xf numFmtId="0" fontId="0" fillId="0" borderId="1" xfId="0" applyBorder="1" applyAlignment="1">
      <alignment horizontal="center"/>
    </xf>
    <xf numFmtId="6" fontId="0" fillId="2" borderId="1" xfId="0" applyNumberFormat="1" applyFill="1" applyBorder="1" applyAlignment="1">
      <alignment horizontal="center"/>
    </xf>
    <xf numFmtId="6" fontId="0" fillId="0" borderId="1" xfId="1" applyNumberFormat="1"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6" fontId="0" fillId="0" borderId="3" xfId="1" applyNumberFormat="1" applyFont="1" applyBorder="1" applyAlignment="1">
      <alignment horizontal="center"/>
    </xf>
    <xf numFmtId="9" fontId="0" fillId="2" borderId="1" xfId="0" applyNumberFormat="1" applyFill="1" applyBorder="1" applyAlignment="1">
      <alignment horizontal="left"/>
    </xf>
    <xf numFmtId="0" fontId="2" fillId="0" borderId="0" xfId="0" applyFont="1" applyAlignment="1">
      <alignment horizontal="right"/>
    </xf>
    <xf numFmtId="0" fontId="2" fillId="0" borderId="0" xfId="0" applyFont="1" applyFill="1" applyAlignment="1">
      <alignment horizontal="right"/>
    </xf>
    <xf numFmtId="10" fontId="0" fillId="2" borderId="1" xfId="0" applyNumberFormat="1" applyFill="1" applyBorder="1" applyAlignment="1">
      <alignment vertical="center"/>
    </xf>
    <xf numFmtId="0" fontId="0" fillId="0" borderId="1" xfId="0" applyBorder="1" applyAlignment="1">
      <alignment horizontal="center" vertical="top"/>
    </xf>
    <xf numFmtId="8" fontId="0" fillId="4" borderId="0" xfId="0" applyNumberFormat="1" applyFill="1" applyProtection="1">
      <protection locked="0" hidden="1"/>
    </xf>
    <xf numFmtId="0" fontId="0" fillId="4" borderId="0" xfId="0" applyFill="1" applyProtection="1">
      <protection locked="0" hidden="1"/>
    </xf>
    <xf numFmtId="8" fontId="2" fillId="4" borderId="0" xfId="0" applyNumberFormat="1" applyFont="1" applyFill="1" applyProtection="1">
      <protection locked="0" hidden="1"/>
    </xf>
    <xf numFmtId="9" fontId="2" fillId="4" borderId="0" xfId="0" applyNumberFormat="1" applyFont="1" applyFill="1" applyProtection="1">
      <protection locked="0" hidden="1"/>
    </xf>
    <xf numFmtId="0" fontId="0" fillId="0" borderId="0" xfId="0" applyAlignment="1">
      <alignment vertical="top" wrapText="1"/>
    </xf>
    <xf numFmtId="0" fontId="0" fillId="0" borderId="0" xfId="0" applyAlignment="1">
      <alignment wrapText="1"/>
    </xf>
    <xf numFmtId="2" fontId="0" fillId="0" borderId="0" xfId="0" applyNumberFormat="1" applyFont="1" applyAlignment="1">
      <alignment wrapText="1"/>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152400</xdr:colOff>
      <xdr:row>57</xdr:row>
      <xdr:rowOff>45720</xdr:rowOff>
    </xdr:from>
    <xdr:to>
      <xdr:col>15</xdr:col>
      <xdr:colOff>636905</xdr:colOff>
      <xdr:row>65</xdr:row>
      <xdr:rowOff>175260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0100" y="13121640"/>
          <a:ext cx="4675505" cy="1714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828675</xdr:colOff>
          <xdr:row>0</xdr:row>
          <xdr:rowOff>19050</xdr:rowOff>
        </xdr:from>
        <xdr:to>
          <xdr:col>5</xdr:col>
          <xdr:colOff>647700</xdr:colOff>
          <xdr:row>1</xdr:row>
          <xdr:rowOff>133350</xdr:rowOff>
        </xdr:to>
        <xdr:sp macro="" textlink="">
          <xdr:nvSpPr>
            <xdr:cNvPr id="5124" name="Button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FF"/>
                  </a:solidFill>
                  <a:latin typeface="Calibri"/>
                </a:rPr>
                <a:t>RUN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0</xdr:row>
          <xdr:rowOff>85725</xdr:rowOff>
        </xdr:from>
        <xdr:to>
          <xdr:col>13</xdr:col>
          <xdr:colOff>219075</xdr:colOff>
          <xdr:row>1</xdr:row>
          <xdr:rowOff>133350</xdr:rowOff>
        </xdr:to>
        <xdr:sp macro="" textlink="">
          <xdr:nvSpPr>
            <xdr:cNvPr id="5126" name="Button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FF0000"/>
                  </a:solidFill>
                  <a:latin typeface="Calibri"/>
                </a:rPr>
                <a:t>CLEAR DATA</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7"/>
  <sheetViews>
    <sheetView tabSelected="1" workbookViewId="0">
      <selection activeCell="F29" sqref="F29"/>
    </sheetView>
  </sheetViews>
  <sheetFormatPr defaultColWidth="11" defaultRowHeight="15.75" x14ac:dyDescent="0.25"/>
  <cols>
    <col min="1" max="1" width="6.625" customWidth="1"/>
    <col min="2" max="2" width="13.375" customWidth="1"/>
    <col min="3" max="3" width="5.625" customWidth="1"/>
    <col min="8" max="8" width="12.25" customWidth="1"/>
    <col min="9" max="9" width="6.625" customWidth="1"/>
    <col min="10" max="10" width="3.625" style="7" customWidth="1"/>
  </cols>
  <sheetData>
    <row r="1" spans="1:16" x14ac:dyDescent="0.25">
      <c r="A1" s="1" t="s">
        <v>128</v>
      </c>
      <c r="B1" s="1"/>
      <c r="K1" s="6" t="s">
        <v>9</v>
      </c>
    </row>
    <row r="3" spans="1:16" x14ac:dyDescent="0.25">
      <c r="B3" s="58" t="s">
        <v>0</v>
      </c>
      <c r="C3" s="48">
        <v>0.08</v>
      </c>
      <c r="K3" s="77" t="s">
        <v>121</v>
      </c>
      <c r="L3" s="77"/>
      <c r="M3" s="77"/>
      <c r="N3" s="77"/>
      <c r="O3" s="77"/>
      <c r="P3" s="77"/>
    </row>
    <row r="4" spans="1:16" x14ac:dyDescent="0.25">
      <c r="B4" s="23"/>
      <c r="K4" s="77"/>
      <c r="L4" s="77"/>
      <c r="M4" s="77"/>
      <c r="N4" s="77"/>
      <c r="O4" s="77"/>
      <c r="P4" s="77"/>
    </row>
    <row r="5" spans="1:16" x14ac:dyDescent="0.25">
      <c r="B5" s="24"/>
      <c r="C5" s="9"/>
      <c r="D5" s="49" t="s">
        <v>1</v>
      </c>
      <c r="E5" s="49" t="s">
        <v>2</v>
      </c>
      <c r="F5" s="49" t="s">
        <v>3</v>
      </c>
      <c r="G5" s="49" t="s">
        <v>4</v>
      </c>
      <c r="H5" s="49" t="s">
        <v>5</v>
      </c>
      <c r="K5" s="77"/>
      <c r="L5" s="77"/>
      <c r="M5" s="77"/>
      <c r="N5" s="77"/>
      <c r="O5" s="77"/>
      <c r="P5" s="77"/>
    </row>
    <row r="6" spans="1:16" x14ac:dyDescent="0.25">
      <c r="B6" s="27" t="s">
        <v>14</v>
      </c>
      <c r="C6" s="9"/>
      <c r="D6" s="11">
        <v>113</v>
      </c>
      <c r="E6" s="11">
        <v>111</v>
      </c>
      <c r="F6" s="11">
        <v>108</v>
      </c>
      <c r="G6" s="11">
        <v>101</v>
      </c>
      <c r="H6" s="11">
        <v>97</v>
      </c>
      <c r="K6" s="77"/>
      <c r="L6" s="77"/>
      <c r="M6" s="77"/>
      <c r="N6" s="77"/>
      <c r="O6" s="77"/>
      <c r="P6" s="77"/>
    </row>
    <row r="7" spans="1:16" x14ac:dyDescent="0.25">
      <c r="B7" s="24"/>
      <c r="C7" s="9"/>
      <c r="D7" s="9"/>
      <c r="E7" s="9"/>
      <c r="F7" s="9"/>
      <c r="G7" s="9"/>
      <c r="H7" s="9"/>
      <c r="K7" s="77"/>
      <c r="L7" s="77"/>
      <c r="M7" s="77"/>
      <c r="N7" s="77"/>
      <c r="O7" s="77"/>
      <c r="P7" s="77"/>
    </row>
    <row r="8" spans="1:16" x14ac:dyDescent="0.25">
      <c r="B8" s="27" t="s">
        <v>16</v>
      </c>
      <c r="C8" s="9"/>
      <c r="D8" s="44">
        <f>PV(C3,1,,D6)</f>
        <v>-104.62962962962962</v>
      </c>
      <c r="E8" s="25">
        <f>PV(C3,2,,E6)</f>
        <v>-95.164609053497941</v>
      </c>
      <c r="F8" s="25">
        <f>PV(C3,3,,F6)</f>
        <v>-85.733882030178322</v>
      </c>
      <c r="G8" s="25">
        <f>PV(C3,4,,G6)</f>
        <v>-74.238015132441774</v>
      </c>
      <c r="H8" s="25">
        <f>PV(C3,5,,H6)</f>
        <v>-66.016570112274039</v>
      </c>
      <c r="I8" s="2"/>
      <c r="K8" s="78"/>
      <c r="L8" s="78"/>
      <c r="M8" s="78"/>
      <c r="N8" s="78"/>
      <c r="O8" s="78"/>
      <c r="P8" s="78"/>
    </row>
    <row r="9" spans="1:16" x14ac:dyDescent="0.25">
      <c r="B9" s="24"/>
      <c r="C9" s="9"/>
      <c r="D9" s="45"/>
      <c r="E9" s="9" t="s">
        <v>13</v>
      </c>
      <c r="F9" s="9"/>
      <c r="G9" s="9"/>
      <c r="H9" s="9"/>
      <c r="K9" s="78"/>
      <c r="L9" s="78"/>
      <c r="M9" s="78"/>
      <c r="N9" s="78"/>
      <c r="O9" s="78"/>
      <c r="P9" s="78"/>
    </row>
    <row r="10" spans="1:16" x14ac:dyDescent="0.25">
      <c r="B10" s="24"/>
      <c r="C10" s="9"/>
      <c r="D10" s="45"/>
      <c r="E10" s="9"/>
      <c r="F10" s="9"/>
      <c r="G10" s="9"/>
      <c r="H10" s="9"/>
      <c r="K10" s="78"/>
      <c r="L10" s="78"/>
      <c r="M10" s="78"/>
      <c r="N10" s="78"/>
      <c r="O10" s="78"/>
      <c r="P10" s="78"/>
    </row>
    <row r="11" spans="1:16" x14ac:dyDescent="0.25">
      <c r="B11" s="27" t="s">
        <v>15</v>
      </c>
      <c r="C11" s="9"/>
      <c r="D11" s="45">
        <f>SUM(D8:H8)</f>
        <v>-425.78270595802172</v>
      </c>
      <c r="E11" s="25"/>
      <c r="F11" s="9"/>
      <c r="G11" s="9"/>
      <c r="H11" s="9"/>
    </row>
    <row r="12" spans="1:16" x14ac:dyDescent="0.25">
      <c r="B12" t="s">
        <v>12</v>
      </c>
      <c r="K12" s="79" t="s">
        <v>122</v>
      </c>
      <c r="L12" s="79"/>
      <c r="M12" s="79"/>
      <c r="N12" s="79"/>
      <c r="O12" s="79"/>
      <c r="P12" s="79"/>
    </row>
    <row r="13" spans="1:16" x14ac:dyDescent="0.25">
      <c r="F13" s="2"/>
      <c r="K13" s="79"/>
      <c r="L13" s="79"/>
      <c r="M13" s="79"/>
      <c r="N13" s="79"/>
      <c r="O13" s="79"/>
      <c r="P13" s="79"/>
    </row>
    <row r="14" spans="1:16" x14ac:dyDescent="0.25">
      <c r="K14" s="79"/>
      <c r="L14" s="79"/>
      <c r="M14" s="79"/>
      <c r="N14" s="79"/>
      <c r="O14" s="79"/>
      <c r="P14" s="79"/>
    </row>
    <row r="15" spans="1:16" x14ac:dyDescent="0.25">
      <c r="K15" s="79"/>
      <c r="L15" s="79"/>
      <c r="M15" s="79"/>
      <c r="N15" s="79"/>
      <c r="O15" s="79"/>
      <c r="P15" s="79"/>
    </row>
    <row r="17" spans="3:5" x14ac:dyDescent="0.25">
      <c r="C17" t="s">
        <v>10</v>
      </c>
      <c r="E17" t="s">
        <v>11</v>
      </c>
    </row>
  </sheetData>
  <sheetProtection algorithmName="SHA-512" hashValue="tp2inOAfQkJMSUfQUmYexqdCNx5FwyO+YcEmOy6NubDLtyq9OD+IOCjtv6KgSviu95eydpAN9Gu1BcUnU3nf3A==" saltValue="5p7Qi9msveCSSLQcIYO1CQ==" spinCount="100000" sheet="1" objects="1" scenarios="1"/>
  <protectedRanges>
    <protectedRange sqref="D6:H6" name="FreeCashFlow"/>
  </protectedRanges>
  <mergeCells count="2">
    <mergeCell ref="K3:P10"/>
    <mergeCell ref="K12:P15"/>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F27" sqref="F27"/>
    </sheetView>
  </sheetViews>
  <sheetFormatPr defaultRowHeight="15.75" x14ac:dyDescent="0.25"/>
  <cols>
    <col min="2" max="2" width="11.875" bestFit="1" customWidth="1"/>
  </cols>
  <sheetData>
    <row r="1" spans="1:8" x14ac:dyDescent="0.25">
      <c r="A1" s="1" t="s">
        <v>128</v>
      </c>
      <c r="B1" s="1"/>
    </row>
    <row r="3" spans="1:8" x14ac:dyDescent="0.25">
      <c r="B3" s="58" t="s">
        <v>0</v>
      </c>
      <c r="C3" s="48">
        <v>0.1</v>
      </c>
    </row>
    <row r="4" spans="1:8" x14ac:dyDescent="0.25">
      <c r="B4" s="23"/>
    </row>
    <row r="5" spans="1:8" x14ac:dyDescent="0.25">
      <c r="B5" s="24"/>
      <c r="C5" s="9"/>
      <c r="D5" s="49" t="s">
        <v>1</v>
      </c>
      <c r="E5" s="49" t="s">
        <v>2</v>
      </c>
      <c r="F5" s="49" t="s">
        <v>3</v>
      </c>
      <c r="G5" s="49" t="s">
        <v>4</v>
      </c>
      <c r="H5" s="49" t="s">
        <v>5</v>
      </c>
    </row>
    <row r="6" spans="1:8" x14ac:dyDescent="0.25">
      <c r="B6" s="27" t="s">
        <v>14</v>
      </c>
      <c r="C6" s="9"/>
      <c r="D6" s="11">
        <v>113</v>
      </c>
      <c r="E6" s="11">
        <v>111</v>
      </c>
      <c r="F6" s="11">
        <v>108</v>
      </c>
      <c r="G6" s="11">
        <v>101</v>
      </c>
      <c r="H6" s="11">
        <v>97</v>
      </c>
    </row>
    <row r="7" spans="1:8" x14ac:dyDescent="0.25">
      <c r="B7" s="24"/>
      <c r="C7" s="9"/>
      <c r="D7" s="9"/>
      <c r="E7" s="9"/>
      <c r="F7" s="9"/>
      <c r="G7" s="9"/>
      <c r="H7" s="9"/>
    </row>
    <row r="8" spans="1:8" x14ac:dyDescent="0.25">
      <c r="B8" s="27" t="s">
        <v>16</v>
      </c>
      <c r="C8" s="9"/>
      <c r="D8" s="44">
        <f>PV(C3,1,,D6)</f>
        <v>-102.72727272727272</v>
      </c>
      <c r="E8" s="25">
        <f>PV(C3,2,,E6)</f>
        <v>-91.735537190082624</v>
      </c>
      <c r="F8" s="25">
        <f>PV(C3,3,,F6)</f>
        <v>-81.141998497370381</v>
      </c>
      <c r="G8" s="25">
        <f>PV(C3,4,,G6)</f>
        <v>-68.984358991872128</v>
      </c>
      <c r="H8" s="25">
        <f>PV(C3,5,,H6)</f>
        <v>-60.229368336738034</v>
      </c>
    </row>
    <row r="9" spans="1:8" x14ac:dyDescent="0.25">
      <c r="B9" s="24"/>
      <c r="C9" s="9"/>
      <c r="D9" s="45"/>
      <c r="E9" s="9" t="s">
        <v>13</v>
      </c>
      <c r="F9" s="9"/>
      <c r="G9" s="9"/>
      <c r="H9" s="9"/>
    </row>
    <row r="10" spans="1:8" x14ac:dyDescent="0.25">
      <c r="B10" s="24"/>
      <c r="C10" s="9"/>
      <c r="D10" s="45"/>
      <c r="E10" s="9"/>
      <c r="F10" s="9"/>
      <c r="G10" s="9"/>
      <c r="H10" s="9"/>
    </row>
    <row r="11" spans="1:8" x14ac:dyDescent="0.25">
      <c r="B11" s="27" t="s">
        <v>15</v>
      </c>
      <c r="C11" s="9"/>
      <c r="D11" s="45">
        <f>SUM(D8:H8)</f>
        <v>-404.81853574333587</v>
      </c>
      <c r="E11" s="25"/>
      <c r="F11" s="9"/>
      <c r="G11" s="9"/>
      <c r="H11" s="9"/>
    </row>
    <row r="12" spans="1:8" x14ac:dyDescent="0.25">
      <c r="B12" t="s">
        <v>12</v>
      </c>
    </row>
    <row r="13" spans="1:8" x14ac:dyDescent="0.25">
      <c r="F13" s="2"/>
    </row>
  </sheetData>
  <protectedRanges>
    <protectedRange sqref="D6:H6" name="FreeCashFlow"/>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62"/>
  <sheetViews>
    <sheetView workbookViewId="0">
      <selection activeCell="C7" sqref="C7"/>
    </sheetView>
  </sheetViews>
  <sheetFormatPr defaultColWidth="11" defaultRowHeight="15.75" x14ac:dyDescent="0.25"/>
  <cols>
    <col min="1" max="1" width="9" customWidth="1"/>
    <col min="2" max="2" width="12.625" customWidth="1"/>
    <col min="3" max="3" width="12.5" customWidth="1"/>
    <col min="5" max="5" width="16.625" customWidth="1"/>
    <col min="6" max="6" width="12.625" customWidth="1"/>
    <col min="9" max="9" width="6.625" customWidth="1"/>
    <col min="10" max="10" width="4.125" style="7" customWidth="1"/>
  </cols>
  <sheetData>
    <row r="1" spans="1:17" x14ac:dyDescent="0.25">
      <c r="A1" s="80" t="s">
        <v>129</v>
      </c>
      <c r="B1" s="80"/>
      <c r="C1" s="80"/>
      <c r="D1" s="80"/>
      <c r="E1" s="78"/>
      <c r="F1" s="78"/>
      <c r="G1" s="78"/>
      <c r="K1" s="6" t="s">
        <v>9</v>
      </c>
    </row>
    <row r="2" spans="1:17" x14ac:dyDescent="0.25">
      <c r="K2" s="77" t="s">
        <v>123</v>
      </c>
      <c r="L2" s="77"/>
      <c r="M2" s="77"/>
      <c r="N2" s="77"/>
      <c r="O2" s="77"/>
      <c r="P2" s="77"/>
      <c r="Q2" s="77"/>
    </row>
    <row r="3" spans="1:17" x14ac:dyDescent="0.25">
      <c r="A3" s="6" t="s">
        <v>66</v>
      </c>
      <c r="B3" s="6"/>
      <c r="K3" s="77"/>
      <c r="L3" s="77"/>
      <c r="M3" s="77"/>
      <c r="N3" s="77"/>
      <c r="O3" s="77"/>
      <c r="P3" s="77"/>
      <c r="Q3" s="77"/>
    </row>
    <row r="4" spans="1:17" x14ac:dyDescent="0.25">
      <c r="B4" t="s">
        <v>19</v>
      </c>
      <c r="K4" s="77"/>
      <c r="L4" s="77"/>
      <c r="M4" s="77"/>
      <c r="N4" s="77"/>
      <c r="O4" s="77"/>
      <c r="P4" s="77"/>
      <c r="Q4" s="77"/>
    </row>
    <row r="5" spans="1:17" x14ac:dyDescent="0.25">
      <c r="K5" s="77"/>
      <c r="L5" s="77"/>
      <c r="M5" s="77"/>
      <c r="N5" s="77"/>
      <c r="O5" s="77"/>
      <c r="P5" s="77"/>
      <c r="Q5" s="77"/>
    </row>
    <row r="6" spans="1:17" ht="36" customHeight="1" x14ac:dyDescent="0.25">
      <c r="B6" s="72" t="s">
        <v>17</v>
      </c>
      <c r="C6" s="10" t="s">
        <v>18</v>
      </c>
      <c r="D6" s="10" t="s">
        <v>20</v>
      </c>
      <c r="E6" s="10" t="s">
        <v>29</v>
      </c>
      <c r="F6" s="10" t="s">
        <v>25</v>
      </c>
      <c r="K6" s="77" t="s">
        <v>124</v>
      </c>
      <c r="L6" s="77"/>
      <c r="M6" s="77"/>
      <c r="N6" s="77"/>
      <c r="O6" s="77"/>
      <c r="P6" s="77"/>
      <c r="Q6" s="77"/>
    </row>
    <row r="7" spans="1:17" x14ac:dyDescent="0.25">
      <c r="B7" s="9">
        <v>2012</v>
      </c>
      <c r="C7" s="11"/>
      <c r="D7" s="12"/>
      <c r="E7" s="13"/>
      <c r="F7" s="9" t="e">
        <f t="shared" ref="F7:F8" si="0">(C7/(D7/100))/100</f>
        <v>#DIV/0!</v>
      </c>
      <c r="K7" s="77"/>
      <c r="L7" s="77"/>
      <c r="M7" s="77"/>
      <c r="N7" s="77"/>
      <c r="O7" s="77"/>
      <c r="P7" s="77"/>
      <c r="Q7" s="77"/>
    </row>
    <row r="8" spans="1:17" x14ac:dyDescent="0.25">
      <c r="B8" s="9">
        <v>2013</v>
      </c>
      <c r="C8" s="11"/>
      <c r="D8" s="12"/>
      <c r="E8" s="13"/>
      <c r="F8" s="9" t="e">
        <f t="shared" si="0"/>
        <v>#DIV/0!</v>
      </c>
      <c r="K8" s="77"/>
      <c r="L8" s="77"/>
      <c r="M8" s="77"/>
      <c r="N8" s="77"/>
      <c r="O8" s="77"/>
      <c r="P8" s="77"/>
      <c r="Q8" s="77"/>
    </row>
    <row r="9" spans="1:17" x14ac:dyDescent="0.25">
      <c r="B9" s="9">
        <v>2014</v>
      </c>
      <c r="C9" s="11"/>
      <c r="D9" s="12"/>
      <c r="E9" s="13"/>
      <c r="F9" s="9" t="e">
        <f>(C9/(D9/100))/100</f>
        <v>#DIV/0!</v>
      </c>
      <c r="K9" s="77"/>
      <c r="L9" s="77"/>
      <c r="M9" s="77"/>
      <c r="N9" s="77"/>
      <c r="O9" s="77"/>
      <c r="P9" s="77"/>
      <c r="Q9" s="77"/>
    </row>
    <row r="10" spans="1:17" x14ac:dyDescent="0.25">
      <c r="K10" s="77"/>
      <c r="L10" s="77"/>
      <c r="M10" s="77"/>
      <c r="N10" s="77"/>
      <c r="O10" s="77"/>
      <c r="P10" s="77"/>
      <c r="Q10" s="77"/>
    </row>
    <row r="11" spans="1:17" x14ac:dyDescent="0.25">
      <c r="A11" t="s">
        <v>26</v>
      </c>
      <c r="K11" s="77"/>
      <c r="L11" s="77"/>
      <c r="M11" s="77"/>
      <c r="N11" s="77"/>
      <c r="O11" s="77"/>
      <c r="P11" s="77"/>
      <c r="Q11" s="77"/>
    </row>
    <row r="13" spans="1:17" ht="46.15" customHeight="1" x14ac:dyDescent="0.25">
      <c r="B13" s="72" t="s">
        <v>17</v>
      </c>
      <c r="C13" s="10" t="s">
        <v>63</v>
      </c>
      <c r="D13" s="10" t="s">
        <v>20</v>
      </c>
      <c r="E13" s="10" t="s">
        <v>29</v>
      </c>
      <c r="F13" s="10" t="s">
        <v>25</v>
      </c>
      <c r="G13" s="18"/>
      <c r="K13" s="77" t="s">
        <v>125</v>
      </c>
      <c r="L13" s="77"/>
      <c r="M13" s="77"/>
      <c r="N13" s="77"/>
      <c r="O13" s="77"/>
      <c r="P13" s="77"/>
      <c r="Q13" s="77"/>
    </row>
    <row r="14" spans="1:17" x14ac:dyDescent="0.25">
      <c r="B14" s="9">
        <v>2012</v>
      </c>
      <c r="C14" s="15">
        <f>C7+1.75</f>
        <v>1.75</v>
      </c>
      <c r="D14" s="16" t="e">
        <f>C14/F14</f>
        <v>#DIV/0!</v>
      </c>
      <c r="E14" s="17">
        <f t="shared" ref="E14:F16" si="1">E7</f>
        <v>0</v>
      </c>
      <c r="F14" s="9" t="e">
        <f t="shared" si="1"/>
        <v>#DIV/0!</v>
      </c>
      <c r="G14" s="19"/>
      <c r="K14" s="77"/>
      <c r="L14" s="77"/>
      <c r="M14" s="77"/>
      <c r="N14" s="77"/>
      <c r="O14" s="77"/>
      <c r="P14" s="77"/>
      <c r="Q14" s="77"/>
    </row>
    <row r="15" spans="1:17" x14ac:dyDescent="0.25">
      <c r="B15" s="9">
        <v>2013</v>
      </c>
      <c r="C15" s="15">
        <f>C8+1.75</f>
        <v>1.75</v>
      </c>
      <c r="D15" s="16" t="e">
        <f t="shared" ref="D15:D16" si="2">C15/F15</f>
        <v>#DIV/0!</v>
      </c>
      <c r="E15" s="17">
        <f t="shared" si="1"/>
        <v>0</v>
      </c>
      <c r="F15" s="9" t="e">
        <f t="shared" si="1"/>
        <v>#DIV/0!</v>
      </c>
      <c r="G15" s="19"/>
      <c r="K15" s="77"/>
      <c r="L15" s="77"/>
      <c r="M15" s="77"/>
      <c r="N15" s="77"/>
      <c r="O15" s="77"/>
      <c r="P15" s="77"/>
      <c r="Q15" s="77"/>
    </row>
    <row r="16" spans="1:17" x14ac:dyDescent="0.25">
      <c r="B16" s="9">
        <v>2014</v>
      </c>
      <c r="C16" s="15">
        <f>C9+1.75</f>
        <v>1.75</v>
      </c>
      <c r="D16" s="16" t="e">
        <f t="shared" si="2"/>
        <v>#DIV/0!</v>
      </c>
      <c r="E16" s="17">
        <f t="shared" si="1"/>
        <v>0</v>
      </c>
      <c r="F16" s="9" t="e">
        <f t="shared" si="1"/>
        <v>#DIV/0!</v>
      </c>
      <c r="G16" s="19"/>
    </row>
    <row r="17" spans="1:17" x14ac:dyDescent="0.25">
      <c r="B17" s="14"/>
      <c r="C17" s="14"/>
      <c r="D17" s="14"/>
      <c r="E17" s="14"/>
      <c r="F17" s="14"/>
      <c r="G17" s="14"/>
    </row>
    <row r="18" spans="1:17" x14ac:dyDescent="0.25">
      <c r="A18" t="s">
        <v>21</v>
      </c>
      <c r="K18" s="77" t="s">
        <v>28</v>
      </c>
      <c r="L18" s="77"/>
      <c r="M18" s="77"/>
      <c r="N18" s="77"/>
      <c r="O18" s="77"/>
      <c r="P18" s="77"/>
      <c r="Q18" s="77"/>
    </row>
    <row r="19" spans="1:17" x14ac:dyDescent="0.25">
      <c r="K19" s="77"/>
      <c r="L19" s="77"/>
      <c r="M19" s="77"/>
      <c r="N19" s="77"/>
      <c r="O19" s="77"/>
      <c r="P19" s="77"/>
      <c r="Q19" s="77"/>
    </row>
    <row r="20" spans="1:17" ht="49.9" customHeight="1" x14ac:dyDescent="0.25">
      <c r="A20" s="5"/>
      <c r="B20" s="72" t="s">
        <v>17</v>
      </c>
      <c r="C20" s="10" t="s">
        <v>62</v>
      </c>
      <c r="D20" s="10" t="s">
        <v>20</v>
      </c>
      <c r="E20" s="10" t="s">
        <v>30</v>
      </c>
      <c r="F20" s="10" t="s">
        <v>25</v>
      </c>
      <c r="K20" s="77"/>
      <c r="L20" s="77"/>
      <c r="M20" s="77"/>
      <c r="N20" s="77"/>
      <c r="O20" s="77"/>
      <c r="P20" s="77"/>
      <c r="Q20" s="77"/>
    </row>
    <row r="21" spans="1:17" x14ac:dyDescent="0.25">
      <c r="A21" s="5"/>
      <c r="B21" s="9">
        <v>2012</v>
      </c>
      <c r="C21" s="15">
        <f>C7/2</f>
        <v>0</v>
      </c>
      <c r="D21" s="16" t="e">
        <f t="shared" ref="D21:D23" si="3">C21/F21</f>
        <v>#DIV/0!</v>
      </c>
      <c r="E21" s="17">
        <f>E14*2</f>
        <v>0</v>
      </c>
      <c r="F21" s="9" t="e">
        <f>F14</f>
        <v>#DIV/0!</v>
      </c>
      <c r="I21" s="4"/>
      <c r="K21" s="77"/>
      <c r="L21" s="77"/>
      <c r="M21" s="77"/>
      <c r="N21" s="77"/>
      <c r="O21" s="77"/>
      <c r="P21" s="77"/>
      <c r="Q21" s="77"/>
    </row>
    <row r="22" spans="1:17" x14ac:dyDescent="0.25">
      <c r="A22" s="5"/>
      <c r="B22" s="9">
        <v>2013</v>
      </c>
      <c r="C22" s="15">
        <f>C8/2</f>
        <v>0</v>
      </c>
      <c r="D22" s="16" t="e">
        <f t="shared" si="3"/>
        <v>#DIV/0!</v>
      </c>
      <c r="E22" s="17">
        <f>E15*2</f>
        <v>0</v>
      </c>
      <c r="F22" s="15" t="e">
        <f>F15</f>
        <v>#DIV/0!</v>
      </c>
      <c r="I22" s="4"/>
      <c r="K22" s="77"/>
      <c r="L22" s="77"/>
      <c r="M22" s="77"/>
      <c r="N22" s="77"/>
      <c r="O22" s="77"/>
      <c r="P22" s="77"/>
      <c r="Q22" s="77"/>
    </row>
    <row r="23" spans="1:17" x14ac:dyDescent="0.25">
      <c r="A23" s="5"/>
      <c r="B23" s="9">
        <v>2014</v>
      </c>
      <c r="C23" s="15">
        <f>C9/2</f>
        <v>0</v>
      </c>
      <c r="D23" s="16" t="e">
        <f t="shared" si="3"/>
        <v>#DIV/0!</v>
      </c>
      <c r="E23" s="17">
        <f>E16*2</f>
        <v>0</v>
      </c>
      <c r="F23" s="15" t="e">
        <f>F16</f>
        <v>#DIV/0!</v>
      </c>
    </row>
    <row r="24" spans="1:17" x14ac:dyDescent="0.25">
      <c r="A24" s="5"/>
    </row>
    <row r="25" spans="1:17" x14ac:dyDescent="0.25">
      <c r="H25" s="3"/>
      <c r="K25" s="77" t="s">
        <v>126</v>
      </c>
      <c r="L25" s="77"/>
      <c r="M25" s="77"/>
      <c r="N25" s="77"/>
      <c r="O25" s="77"/>
      <c r="P25" s="77"/>
      <c r="Q25" s="77"/>
    </row>
    <row r="26" spans="1:17" x14ac:dyDescent="0.25">
      <c r="A26" t="s">
        <v>22</v>
      </c>
      <c r="K26" s="77"/>
      <c r="L26" s="77"/>
      <c r="M26" s="77"/>
      <c r="N26" s="77"/>
      <c r="O26" s="77"/>
      <c r="P26" s="77"/>
      <c r="Q26" s="77"/>
    </row>
    <row r="27" spans="1:17" x14ac:dyDescent="0.25">
      <c r="K27" s="77"/>
      <c r="L27" s="77"/>
      <c r="M27" s="77"/>
      <c r="N27" s="77"/>
      <c r="O27" s="77"/>
      <c r="P27" s="77"/>
      <c r="Q27" s="77"/>
    </row>
    <row r="28" spans="1:17" ht="47.25" x14ac:dyDescent="0.25">
      <c r="B28" s="72" t="s">
        <v>17</v>
      </c>
      <c r="C28" s="10" t="s">
        <v>63</v>
      </c>
      <c r="D28" s="20" t="s">
        <v>25</v>
      </c>
      <c r="E28" s="10" t="s">
        <v>27</v>
      </c>
      <c r="K28" s="77"/>
      <c r="L28" s="77"/>
      <c r="M28" s="77"/>
      <c r="N28" s="77"/>
      <c r="O28" s="77"/>
      <c r="P28" s="77"/>
      <c r="Q28" s="77"/>
    </row>
    <row r="29" spans="1:17" x14ac:dyDescent="0.25">
      <c r="B29" s="9">
        <v>2012</v>
      </c>
      <c r="C29" s="15">
        <f>C14</f>
        <v>1.75</v>
      </c>
      <c r="D29" s="9" t="e">
        <f>F21</f>
        <v>#DIV/0!</v>
      </c>
      <c r="E29" s="9"/>
      <c r="K29" s="78"/>
      <c r="L29" s="78"/>
      <c r="M29" s="78"/>
      <c r="N29" s="78"/>
      <c r="O29" s="78"/>
      <c r="P29" s="78"/>
      <c r="Q29" s="78"/>
    </row>
    <row r="30" spans="1:17" x14ac:dyDescent="0.25">
      <c r="B30" s="9">
        <v>2013</v>
      </c>
      <c r="C30" s="15">
        <f>C15</f>
        <v>1.75</v>
      </c>
      <c r="D30" s="9" t="e">
        <f t="shared" ref="D30:D31" si="4">F22</f>
        <v>#DIV/0!</v>
      </c>
      <c r="E30" s="21" t="e">
        <f>(C30+((D30-D29)/D29))/100</f>
        <v>#DIV/0!</v>
      </c>
      <c r="K30" s="78"/>
      <c r="L30" s="78"/>
      <c r="M30" s="78"/>
      <c r="N30" s="78"/>
      <c r="O30" s="78"/>
      <c r="P30" s="78"/>
      <c r="Q30" s="78"/>
    </row>
    <row r="31" spans="1:17" x14ac:dyDescent="0.25">
      <c r="B31" s="9">
        <v>2014</v>
      </c>
      <c r="C31" s="15">
        <f>C16</f>
        <v>1.75</v>
      </c>
      <c r="D31" s="9" t="e">
        <f t="shared" si="4"/>
        <v>#DIV/0!</v>
      </c>
      <c r="E31" s="21" t="e">
        <f>(C31+((D31-D30)/D30))/100</f>
        <v>#DIV/0!</v>
      </c>
      <c r="K31" s="78"/>
      <c r="L31" s="78"/>
      <c r="M31" s="78"/>
      <c r="N31" s="78"/>
      <c r="O31" s="78"/>
      <c r="P31" s="78"/>
      <c r="Q31" s="78"/>
    </row>
    <row r="33" spans="1:17" x14ac:dyDescent="0.25">
      <c r="K33" s="77" t="s">
        <v>127</v>
      </c>
      <c r="L33" s="77"/>
      <c r="M33" s="77"/>
      <c r="N33" s="77"/>
      <c r="O33" s="77"/>
      <c r="P33" s="77"/>
      <c r="Q33" s="77"/>
    </row>
    <row r="34" spans="1:17" x14ac:dyDescent="0.25">
      <c r="A34" s="6" t="s">
        <v>65</v>
      </c>
      <c r="K34" s="77"/>
      <c r="L34" s="77"/>
      <c r="M34" s="77"/>
      <c r="N34" s="77"/>
      <c r="O34" s="77"/>
      <c r="P34" s="77"/>
      <c r="Q34" s="77"/>
    </row>
    <row r="35" spans="1:17" x14ac:dyDescent="0.25">
      <c r="A35" s="6"/>
      <c r="B35" t="s">
        <v>32</v>
      </c>
      <c r="K35" s="77"/>
      <c r="L35" s="77"/>
      <c r="M35" s="77"/>
      <c r="N35" s="77"/>
      <c r="O35" s="77"/>
      <c r="P35" s="77"/>
      <c r="Q35" s="77"/>
    </row>
    <row r="36" spans="1:17" x14ac:dyDescent="0.25">
      <c r="A36" s="6"/>
      <c r="K36" s="77"/>
      <c r="L36" s="77"/>
      <c r="M36" s="77"/>
      <c r="N36" s="77"/>
      <c r="O36" s="77"/>
      <c r="P36" s="77"/>
      <c r="Q36" s="77"/>
    </row>
    <row r="37" spans="1:17" x14ac:dyDescent="0.25">
      <c r="B37" s="24" t="s">
        <v>35</v>
      </c>
      <c r="C37" s="27" t="s">
        <v>33</v>
      </c>
      <c r="D37" s="31">
        <v>-2963</v>
      </c>
      <c r="K37" s="77"/>
      <c r="L37" s="77"/>
      <c r="M37" s="77"/>
      <c r="N37" s="77"/>
      <c r="O37" s="77"/>
      <c r="P37" s="77"/>
      <c r="Q37" s="77"/>
    </row>
    <row r="38" spans="1:17" x14ac:dyDescent="0.25">
      <c r="B38" s="24" t="s">
        <v>36</v>
      </c>
      <c r="C38" s="27" t="s">
        <v>34</v>
      </c>
      <c r="D38" s="15">
        <v>40</v>
      </c>
      <c r="E38" s="26" t="s">
        <v>45</v>
      </c>
      <c r="F38" s="26"/>
      <c r="G38" s="26"/>
      <c r="H38" s="26"/>
      <c r="K38" s="77"/>
      <c r="L38" s="77"/>
      <c r="M38" s="77"/>
      <c r="N38" s="77"/>
      <c r="O38" s="77"/>
      <c r="P38" s="77"/>
      <c r="Q38" s="77"/>
    </row>
    <row r="39" spans="1:17" x14ac:dyDescent="0.25">
      <c r="B39" s="24" t="s">
        <v>37</v>
      </c>
      <c r="C39" s="27" t="s">
        <v>38</v>
      </c>
      <c r="D39" s="15">
        <v>2.9375</v>
      </c>
      <c r="E39" s="26" t="s">
        <v>46</v>
      </c>
      <c r="F39" s="26"/>
      <c r="G39" s="26"/>
      <c r="H39" s="26"/>
      <c r="K39" s="77"/>
      <c r="L39" s="77"/>
      <c r="M39" s="77"/>
      <c r="N39" s="77"/>
      <c r="O39" s="77"/>
      <c r="P39" s="77"/>
      <c r="Q39" s="77"/>
    </row>
    <row r="40" spans="1:17" x14ac:dyDescent="0.25">
      <c r="B40" s="24" t="s">
        <v>39</v>
      </c>
      <c r="C40" s="27" t="s">
        <v>40</v>
      </c>
      <c r="D40" s="15">
        <v>0</v>
      </c>
      <c r="E40" s="26" t="s">
        <v>41</v>
      </c>
      <c r="F40" s="26"/>
      <c r="G40" s="26"/>
      <c r="H40" s="26"/>
      <c r="K40" s="78"/>
      <c r="L40" s="78"/>
      <c r="M40" s="78"/>
      <c r="N40" s="78"/>
      <c r="O40" s="78"/>
      <c r="P40" s="78"/>
      <c r="Q40" s="78"/>
    </row>
    <row r="41" spans="1:17" x14ac:dyDescent="0.25">
      <c r="B41" s="24" t="s">
        <v>43</v>
      </c>
      <c r="C41" s="27" t="s">
        <v>42</v>
      </c>
      <c r="D41" s="30"/>
      <c r="E41" s="28" t="s">
        <v>60</v>
      </c>
      <c r="K41" s="78"/>
      <c r="L41" s="78"/>
      <c r="M41" s="78"/>
      <c r="N41" s="78"/>
      <c r="O41" s="78"/>
      <c r="P41" s="78"/>
      <c r="Q41" s="78"/>
    </row>
    <row r="42" spans="1:17" x14ac:dyDescent="0.25">
      <c r="K42" s="78"/>
      <c r="L42" s="78"/>
      <c r="M42" s="78"/>
      <c r="N42" s="78"/>
      <c r="O42" s="78"/>
      <c r="P42" s="78"/>
      <c r="Q42" s="78"/>
    </row>
    <row r="43" spans="1:17" x14ac:dyDescent="0.25">
      <c r="A43" t="s">
        <v>23</v>
      </c>
      <c r="K43" s="78"/>
      <c r="L43" s="78"/>
      <c r="M43" s="78"/>
      <c r="N43" s="78"/>
      <c r="O43" s="78"/>
      <c r="P43" s="78"/>
      <c r="Q43" s="78"/>
    </row>
    <row r="44" spans="1:17" x14ac:dyDescent="0.25">
      <c r="K44" s="78"/>
      <c r="L44" s="78"/>
      <c r="M44" s="78"/>
      <c r="N44" s="78"/>
      <c r="O44" s="78"/>
      <c r="P44" s="78"/>
      <c r="Q44" s="78"/>
    </row>
    <row r="45" spans="1:17" x14ac:dyDescent="0.25">
      <c r="B45" s="24" t="s">
        <v>35</v>
      </c>
      <c r="C45" s="27" t="s">
        <v>33</v>
      </c>
      <c r="D45" s="31">
        <v>-2963</v>
      </c>
      <c r="K45" s="78"/>
      <c r="L45" s="78"/>
      <c r="M45" s="78"/>
      <c r="N45" s="78"/>
      <c r="O45" s="78"/>
      <c r="P45" s="78"/>
      <c r="Q45" s="78"/>
    </row>
    <row r="46" spans="1:17" x14ac:dyDescent="0.25">
      <c r="B46" s="24" t="s">
        <v>36</v>
      </c>
      <c r="C46" s="27" t="s">
        <v>34</v>
      </c>
      <c r="D46" s="15">
        <v>40</v>
      </c>
      <c r="K46" s="78"/>
      <c r="L46" s="78"/>
      <c r="M46" s="78"/>
      <c r="N46" s="78"/>
      <c r="O46" s="78"/>
      <c r="P46" s="78"/>
      <c r="Q46" s="78"/>
    </row>
    <row r="47" spans="1:17" x14ac:dyDescent="0.25">
      <c r="B47" s="24" t="s">
        <v>37</v>
      </c>
      <c r="C47" s="27" t="s">
        <v>38</v>
      </c>
      <c r="D47" s="11"/>
      <c r="E47" s="29" t="s">
        <v>44</v>
      </c>
      <c r="F47" s="29"/>
      <c r="G47" s="28" t="s">
        <v>47</v>
      </c>
      <c r="H47" s="26"/>
    </row>
    <row r="48" spans="1:17" x14ac:dyDescent="0.25">
      <c r="B48" s="24" t="s">
        <v>39</v>
      </c>
      <c r="C48" s="27" t="s">
        <v>40</v>
      </c>
      <c r="D48" s="15">
        <v>0</v>
      </c>
      <c r="K48" s="6" t="s">
        <v>51</v>
      </c>
      <c r="L48" s="6"/>
      <c r="M48" s="6"/>
      <c r="N48" s="6"/>
    </row>
    <row r="49" spans="1:11" x14ac:dyDescent="0.25">
      <c r="B49" s="24" t="s">
        <v>43</v>
      </c>
      <c r="C49" s="27" t="s">
        <v>42</v>
      </c>
      <c r="D49" s="30"/>
      <c r="E49" s="28" t="s">
        <v>60</v>
      </c>
      <c r="K49" t="s">
        <v>52</v>
      </c>
    </row>
    <row r="50" spans="1:11" x14ac:dyDescent="0.25">
      <c r="K50" t="s">
        <v>53</v>
      </c>
    </row>
    <row r="51" spans="1:11" x14ac:dyDescent="0.25">
      <c r="K51" t="s">
        <v>54</v>
      </c>
    </row>
    <row r="52" spans="1:11" x14ac:dyDescent="0.25">
      <c r="A52" t="s">
        <v>24</v>
      </c>
      <c r="K52" t="s">
        <v>55</v>
      </c>
    </row>
    <row r="53" spans="1:11" x14ac:dyDescent="0.25">
      <c r="K53" t="s">
        <v>56</v>
      </c>
    </row>
    <row r="54" spans="1:11" x14ac:dyDescent="0.25">
      <c r="B54" s="24" t="s">
        <v>35</v>
      </c>
      <c r="C54" s="27" t="s">
        <v>33</v>
      </c>
      <c r="D54" s="31">
        <v>-2963</v>
      </c>
      <c r="K54" t="s">
        <v>61</v>
      </c>
    </row>
    <row r="55" spans="1:11" x14ac:dyDescent="0.25">
      <c r="B55" s="24" t="s">
        <v>36</v>
      </c>
      <c r="C55" s="27" t="s">
        <v>34</v>
      </c>
      <c r="D55" s="15">
        <v>40</v>
      </c>
      <c r="K55" t="s">
        <v>57</v>
      </c>
    </row>
    <row r="56" spans="1:11" x14ac:dyDescent="0.25">
      <c r="B56" s="24" t="s">
        <v>37</v>
      </c>
      <c r="C56" s="27" t="s">
        <v>38</v>
      </c>
      <c r="D56" s="11"/>
      <c r="E56" s="29" t="s">
        <v>44</v>
      </c>
      <c r="F56" s="29"/>
      <c r="G56" s="26" t="s">
        <v>48</v>
      </c>
      <c r="H56" s="26"/>
      <c r="I56" s="26"/>
      <c r="K56" t="s">
        <v>58</v>
      </c>
    </row>
    <row r="57" spans="1:11" x14ac:dyDescent="0.25">
      <c r="B57" s="24" t="s">
        <v>39</v>
      </c>
      <c r="C57" s="27" t="s">
        <v>40</v>
      </c>
      <c r="D57" s="15">
        <v>0</v>
      </c>
      <c r="K57" t="s">
        <v>59</v>
      </c>
    </row>
    <row r="58" spans="1:11" x14ac:dyDescent="0.25">
      <c r="B58" s="24" t="s">
        <v>43</v>
      </c>
      <c r="C58" s="27" t="s">
        <v>42</v>
      </c>
      <c r="D58" s="30"/>
      <c r="E58" s="28" t="s">
        <v>60</v>
      </c>
    </row>
    <row r="61" spans="1:11" x14ac:dyDescent="0.25">
      <c r="A61" t="s">
        <v>49</v>
      </c>
    </row>
    <row r="62" spans="1:11" x14ac:dyDescent="0.25">
      <c r="B62" t="s">
        <v>50</v>
      </c>
    </row>
  </sheetData>
  <sheetProtection algorithmName="SHA-512" hashValue="MaMtKCPvbtXCePKzofGMF0wCnqal8yfGC/KrX9sS8Bo7t4S9fbXeiWcSlB+1O+Nhv4KYIQGP+dprIswlgmvQ7A==" saltValue="3EYjyLZAUZf6vWIBQTWJQQ==" spinCount="100000" sheet="1" objects="1" scenarios="1"/>
  <protectedRanges>
    <protectedRange sqref="D58" name="Range6"/>
    <protectedRange sqref="D56" name="Range5"/>
    <protectedRange sqref="D49" name="Range4"/>
    <protectedRange sqref="D47" name="Range3"/>
    <protectedRange sqref="D41" name="Range2"/>
    <protectedRange sqref="C7:E9" name="Range1"/>
  </protectedRanges>
  <mergeCells count="7">
    <mergeCell ref="A1:G1"/>
    <mergeCell ref="K18:Q22"/>
    <mergeCell ref="K25:Q31"/>
    <mergeCell ref="K33:Q46"/>
    <mergeCell ref="K2:Q5"/>
    <mergeCell ref="K13:Q15"/>
    <mergeCell ref="K6:Q11"/>
  </mergeCell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7"/>
  <sheetViews>
    <sheetView zoomScale="90" zoomScaleNormal="90" workbookViewId="0">
      <selection activeCell="F2" sqref="F2"/>
    </sheetView>
  </sheetViews>
  <sheetFormatPr defaultColWidth="11" defaultRowHeight="15.75" x14ac:dyDescent="0.25"/>
  <cols>
    <col min="1" max="1" width="34.5" customWidth="1"/>
    <col min="2" max="2" width="13.125" style="61" customWidth="1"/>
    <col min="3" max="3" width="18.625" customWidth="1"/>
    <col min="4" max="4" width="15.75" customWidth="1"/>
    <col min="5" max="5" width="13.5" customWidth="1"/>
    <col min="6" max="6" width="15.625" customWidth="1"/>
    <col min="7" max="7" width="13.25" customWidth="1"/>
    <col min="8" max="8" width="6" customWidth="1"/>
    <col min="9" max="9" width="4.125" style="7" customWidth="1"/>
  </cols>
  <sheetData>
    <row r="1" spans="1:14" x14ac:dyDescent="0.25">
      <c r="A1" s="81" t="s">
        <v>130</v>
      </c>
      <c r="B1" s="82"/>
      <c r="C1" s="82"/>
      <c r="J1" s="6"/>
    </row>
    <row r="2" spans="1:14" x14ac:dyDescent="0.25">
      <c r="E2" s="70" t="s">
        <v>96</v>
      </c>
      <c r="F2" s="68"/>
      <c r="J2" s="6" t="s">
        <v>74</v>
      </c>
      <c r="K2" s="6"/>
      <c r="L2" s="6"/>
      <c r="N2" t="s">
        <v>75</v>
      </c>
    </row>
    <row r="3" spans="1:14" x14ac:dyDescent="0.25">
      <c r="J3" t="s">
        <v>102</v>
      </c>
      <c r="N3" t="s">
        <v>76</v>
      </c>
    </row>
    <row r="4" spans="1:14" x14ac:dyDescent="0.25">
      <c r="J4" t="s">
        <v>103</v>
      </c>
    </row>
    <row r="5" spans="1:14" x14ac:dyDescent="0.25">
      <c r="A5" s="9"/>
      <c r="B5" s="58" t="s">
        <v>6</v>
      </c>
      <c r="C5" s="62" t="s">
        <v>86</v>
      </c>
      <c r="D5" s="62" t="s">
        <v>87</v>
      </c>
      <c r="E5" s="62" t="s">
        <v>88</v>
      </c>
      <c r="F5" s="62" t="s">
        <v>89</v>
      </c>
      <c r="G5" s="62" t="s">
        <v>90</v>
      </c>
      <c r="J5" t="s">
        <v>80</v>
      </c>
    </row>
    <row r="6" spans="1:14" x14ac:dyDescent="0.25">
      <c r="A6" s="9"/>
      <c r="B6" s="63"/>
      <c r="C6" s="9"/>
      <c r="D6" s="9"/>
      <c r="E6" s="9"/>
      <c r="F6" s="9"/>
      <c r="G6" s="9"/>
      <c r="J6" t="s">
        <v>104</v>
      </c>
    </row>
    <row r="7" spans="1:14" x14ac:dyDescent="0.25">
      <c r="A7" s="9" t="s">
        <v>112</v>
      </c>
      <c r="B7" s="64"/>
      <c r="C7" s="38"/>
      <c r="D7" s="38"/>
      <c r="E7" s="38"/>
      <c r="F7" s="38"/>
      <c r="G7" s="38"/>
      <c r="J7" s="33" t="s">
        <v>101</v>
      </c>
    </row>
    <row r="8" spans="1:14" x14ac:dyDescent="0.25">
      <c r="A8" s="9" t="s">
        <v>77</v>
      </c>
      <c r="B8" s="62"/>
      <c r="C8" s="39"/>
      <c r="D8" s="39"/>
      <c r="E8" s="39"/>
      <c r="F8" s="39"/>
      <c r="G8" s="39"/>
      <c r="H8" s="32"/>
      <c r="J8" t="s">
        <v>97</v>
      </c>
    </row>
    <row r="9" spans="1:14" ht="16.5" thickBot="1" x14ac:dyDescent="0.3">
      <c r="A9" s="42" t="s">
        <v>78</v>
      </c>
      <c r="B9" s="65"/>
      <c r="C9" s="43">
        <f>($B$6/100)*20</f>
        <v>0</v>
      </c>
      <c r="D9" s="43">
        <f t="shared" ref="D9:G9" si="0">($B$6/100)*20</f>
        <v>0</v>
      </c>
      <c r="E9" s="43">
        <f t="shared" si="0"/>
        <v>0</v>
      </c>
      <c r="F9" s="43">
        <f t="shared" si="0"/>
        <v>0</v>
      </c>
      <c r="G9" s="43">
        <f t="shared" si="0"/>
        <v>0</v>
      </c>
      <c r="H9" s="32"/>
      <c r="J9" t="s">
        <v>98</v>
      </c>
    </row>
    <row r="10" spans="1:14" x14ac:dyDescent="0.25">
      <c r="A10" s="40" t="s">
        <v>84</v>
      </c>
      <c r="B10" s="66"/>
      <c r="C10" s="41">
        <f>C7-C8-C9</f>
        <v>0</v>
      </c>
      <c r="D10" s="41">
        <f t="shared" ref="D10:G10" si="1">D7-D8-D9</f>
        <v>0</v>
      </c>
      <c r="E10" s="41">
        <f t="shared" si="1"/>
        <v>0</v>
      </c>
      <c r="F10" s="41">
        <f t="shared" si="1"/>
        <v>0</v>
      </c>
      <c r="G10" s="41">
        <f t="shared" si="1"/>
        <v>0</v>
      </c>
      <c r="H10" s="32"/>
      <c r="J10" t="s">
        <v>79</v>
      </c>
    </row>
    <row r="11" spans="1:14" ht="16.5" thickBot="1" x14ac:dyDescent="0.3">
      <c r="A11" s="42" t="s">
        <v>81</v>
      </c>
      <c r="B11" s="65"/>
      <c r="C11" s="43">
        <f>C10*0.35</f>
        <v>0</v>
      </c>
      <c r="D11" s="43">
        <f t="shared" ref="D11:G11" si="2">D10*0.35</f>
        <v>0</v>
      </c>
      <c r="E11" s="43">
        <f t="shared" si="2"/>
        <v>0</v>
      </c>
      <c r="F11" s="43">
        <f t="shared" si="2"/>
        <v>0</v>
      </c>
      <c r="G11" s="43">
        <f t="shared" si="2"/>
        <v>0</v>
      </c>
      <c r="H11" s="32"/>
      <c r="J11" t="s">
        <v>99</v>
      </c>
    </row>
    <row r="12" spans="1:14" x14ac:dyDescent="0.25">
      <c r="A12" s="40" t="s">
        <v>82</v>
      </c>
      <c r="B12" s="66"/>
      <c r="C12" s="41">
        <f>C10-C11</f>
        <v>0</v>
      </c>
      <c r="D12" s="41">
        <f t="shared" ref="D12:G12" si="3">D10-D11</f>
        <v>0</v>
      </c>
      <c r="E12" s="41">
        <f t="shared" si="3"/>
        <v>0</v>
      </c>
      <c r="F12" s="41">
        <f t="shared" si="3"/>
        <v>0</v>
      </c>
      <c r="G12" s="41">
        <f t="shared" si="3"/>
        <v>0</v>
      </c>
      <c r="H12" s="32"/>
      <c r="J12" t="s">
        <v>100</v>
      </c>
    </row>
    <row r="13" spans="1:14" ht="16.5" thickBot="1" x14ac:dyDescent="0.3">
      <c r="A13" s="42" t="s">
        <v>83</v>
      </c>
      <c r="B13" s="65"/>
      <c r="C13" s="43">
        <f>C9*(-1)</f>
        <v>0</v>
      </c>
      <c r="D13" s="43">
        <f t="shared" ref="D13:G13" si="4">D9*(-1)</f>
        <v>0</v>
      </c>
      <c r="E13" s="43">
        <f t="shared" si="4"/>
        <v>0</v>
      </c>
      <c r="F13" s="43">
        <f t="shared" si="4"/>
        <v>0</v>
      </c>
      <c r="G13" s="43">
        <f t="shared" si="4"/>
        <v>0</v>
      </c>
      <c r="H13" s="32"/>
      <c r="J13" s="33" t="s">
        <v>85</v>
      </c>
    </row>
    <row r="14" spans="1:14" x14ac:dyDescent="0.25">
      <c r="A14" s="40" t="s">
        <v>111</v>
      </c>
      <c r="B14" s="67">
        <f>B6</f>
        <v>0</v>
      </c>
      <c r="C14" s="41">
        <f>C12+C13</f>
        <v>0</v>
      </c>
      <c r="D14" s="41">
        <f t="shared" ref="D14:G14" si="5">D12+D13</f>
        <v>0</v>
      </c>
      <c r="E14" s="41">
        <f t="shared" si="5"/>
        <v>0</v>
      </c>
      <c r="F14" s="41">
        <f t="shared" si="5"/>
        <v>0</v>
      </c>
      <c r="G14" s="41">
        <f t="shared" si="5"/>
        <v>0</v>
      </c>
      <c r="H14" s="32"/>
      <c r="J14" t="s">
        <v>91</v>
      </c>
    </row>
    <row r="15" spans="1:14" x14ac:dyDescent="0.25">
      <c r="J15" t="s">
        <v>92</v>
      </c>
    </row>
    <row r="16" spans="1:14" ht="31.5" x14ac:dyDescent="0.25">
      <c r="D16" s="59" t="s">
        <v>131</v>
      </c>
      <c r="J16" t="s">
        <v>93</v>
      </c>
    </row>
    <row r="17" spans="2:14" x14ac:dyDescent="0.25">
      <c r="B17" s="69" t="s">
        <v>7</v>
      </c>
      <c r="C17" s="34">
        <f>NPV(0.08,B14:G14)+B6</f>
        <v>0</v>
      </c>
      <c r="D17" s="60"/>
      <c r="J17" t="s">
        <v>94</v>
      </c>
    </row>
    <row r="18" spans="2:14" x14ac:dyDescent="0.25">
      <c r="D18" s="6"/>
      <c r="J18" t="s">
        <v>95</v>
      </c>
    </row>
    <row r="19" spans="2:14" x14ac:dyDescent="0.25">
      <c r="B19" s="69" t="s">
        <v>8</v>
      </c>
      <c r="C19" s="35" t="e">
        <f>IRR(B14:G14,0.1)</f>
        <v>#NUM!</v>
      </c>
      <c r="D19" s="60"/>
    </row>
    <row r="20" spans="2:14" x14ac:dyDescent="0.25">
      <c r="J20" s="78" t="s">
        <v>107</v>
      </c>
      <c r="K20" s="78"/>
      <c r="L20" s="78"/>
      <c r="M20" s="78"/>
      <c r="N20" s="78"/>
    </row>
    <row r="21" spans="2:14" x14ac:dyDescent="0.25">
      <c r="J21" s="78"/>
      <c r="K21" s="78"/>
      <c r="L21" s="78"/>
      <c r="M21" s="78"/>
      <c r="N21" s="78"/>
    </row>
    <row r="22" spans="2:14" x14ac:dyDescent="0.25">
      <c r="J22" s="78"/>
      <c r="K22" s="78"/>
      <c r="L22" s="78"/>
      <c r="M22" s="78"/>
      <c r="N22" s="78"/>
    </row>
    <row r="24" spans="2:14" x14ac:dyDescent="0.25">
      <c r="J24" s="77" t="s">
        <v>109</v>
      </c>
      <c r="K24" s="77"/>
      <c r="L24" s="77"/>
      <c r="M24" s="77"/>
      <c r="N24" s="77"/>
    </row>
    <row r="25" spans="2:14" x14ac:dyDescent="0.25">
      <c r="J25" s="77"/>
      <c r="K25" s="77"/>
      <c r="L25" s="77"/>
      <c r="M25" s="77"/>
      <c r="N25" s="77"/>
    </row>
    <row r="26" spans="2:14" x14ac:dyDescent="0.25">
      <c r="J26" s="77"/>
      <c r="K26" s="77"/>
      <c r="L26" s="77"/>
      <c r="M26" s="77"/>
      <c r="N26" s="77"/>
    </row>
    <row r="27" spans="2:14" x14ac:dyDescent="0.25">
      <c r="J27" s="77"/>
      <c r="K27" s="77"/>
      <c r="L27" s="77"/>
      <c r="M27" s="77"/>
      <c r="N27" s="77"/>
    </row>
  </sheetData>
  <sheetProtection algorithmName="SHA-512" hashValue="BHNRuKYPY/0LVHIfNBoDZVY4SRIPd8lrZjwbid8t2Wba6bSvfaV9W5T32SSMg9u20Rr/OD8bAQOsoR2cHGNtrA==" saltValue="8tNlvFCahlGR7VtlvfM/cw==" spinCount="100000" sheet="1" objects="1" scenarios="1"/>
  <protectedRanges>
    <protectedRange sqref="D19" name="Range5"/>
    <protectedRange sqref="D17" name="Range4"/>
    <protectedRange sqref="F2" name="Range1"/>
    <protectedRange sqref="B6" name="Range2"/>
    <protectedRange sqref="C7:G8" name="Range3"/>
  </protectedRanges>
  <mergeCells count="3">
    <mergeCell ref="A1:C1"/>
    <mergeCell ref="J20:N22"/>
    <mergeCell ref="J24:N27"/>
  </mergeCells>
  <dataValidations count="1">
    <dataValidation type="list" allowBlank="1" showInputMessage="1" showErrorMessage="1" sqref="D17 D19">
      <formula1>ACCEPT</formula1>
    </dataValidation>
  </dataValidation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0"/>
  <sheetViews>
    <sheetView workbookViewId="0">
      <selection activeCell="G17" sqref="G17"/>
    </sheetView>
  </sheetViews>
  <sheetFormatPr defaultColWidth="11" defaultRowHeight="15.75" x14ac:dyDescent="0.25"/>
  <cols>
    <col min="1" max="1" width="18.25" customWidth="1"/>
    <col min="2" max="2" width="6.625" customWidth="1"/>
    <col min="8" max="8" width="7.625" customWidth="1"/>
    <col min="9" max="9" width="3.625" style="7" customWidth="1"/>
    <col min="10" max="10" width="22.125" customWidth="1"/>
  </cols>
  <sheetData>
    <row r="1" spans="1:13" x14ac:dyDescent="0.25">
      <c r="A1" s="1" t="s">
        <v>132</v>
      </c>
      <c r="B1" s="1"/>
      <c r="J1" s="6" t="s">
        <v>108</v>
      </c>
    </row>
    <row r="2" spans="1:13" ht="32.25" customHeight="1" x14ac:dyDescent="0.25">
      <c r="J2" s="83" t="s">
        <v>114</v>
      </c>
      <c r="K2" s="83"/>
      <c r="L2" s="83"/>
      <c r="M2" s="83"/>
    </row>
    <row r="3" spans="1:13" x14ac:dyDescent="0.25">
      <c r="A3" s="6" t="s">
        <v>113</v>
      </c>
      <c r="B3" s="6"/>
      <c r="C3" s="6"/>
      <c r="D3" s="6"/>
      <c r="E3" s="6"/>
    </row>
    <row r="4" spans="1:13" x14ac:dyDescent="0.25">
      <c r="J4" s="33" t="s">
        <v>115</v>
      </c>
    </row>
    <row r="5" spans="1:13" x14ac:dyDescent="0.25">
      <c r="A5" s="24" t="s">
        <v>0</v>
      </c>
      <c r="B5" s="50">
        <v>0.08</v>
      </c>
      <c r="C5" s="52"/>
      <c r="D5" s="52"/>
      <c r="E5" s="52"/>
      <c r="F5" s="52"/>
      <c r="G5" s="52"/>
      <c r="J5" t="s">
        <v>116</v>
      </c>
    </row>
    <row r="6" spans="1:13" x14ac:dyDescent="0.25">
      <c r="A6" s="52"/>
      <c r="B6" s="52"/>
      <c r="C6" s="52"/>
      <c r="D6" s="52"/>
      <c r="E6" s="52"/>
      <c r="F6" s="52"/>
      <c r="G6" s="53"/>
      <c r="J6" t="s">
        <v>117</v>
      </c>
    </row>
    <row r="7" spans="1:13" x14ac:dyDescent="0.25">
      <c r="A7" s="9"/>
      <c r="B7" s="9"/>
      <c r="C7" s="9" t="s">
        <v>1</v>
      </c>
      <c r="D7" s="9" t="s">
        <v>2</v>
      </c>
      <c r="E7" s="9" t="s">
        <v>3</v>
      </c>
      <c r="F7" s="9" t="s">
        <v>4</v>
      </c>
      <c r="G7" s="9" t="s">
        <v>5</v>
      </c>
    </row>
    <row r="8" spans="1:13" x14ac:dyDescent="0.25">
      <c r="A8" s="9" t="s">
        <v>14</v>
      </c>
      <c r="B8" s="9"/>
      <c r="C8" s="9">
        <v>113</v>
      </c>
      <c r="D8" s="9">
        <v>111</v>
      </c>
      <c r="E8" s="9">
        <v>108</v>
      </c>
      <c r="F8" s="9">
        <v>101</v>
      </c>
      <c r="G8" s="9">
        <v>97</v>
      </c>
    </row>
    <row r="9" spans="1:13" x14ac:dyDescent="0.25">
      <c r="A9" s="9"/>
      <c r="B9" s="9"/>
      <c r="C9" s="9"/>
      <c r="D9" s="9"/>
      <c r="E9" s="9"/>
      <c r="F9" s="9"/>
      <c r="G9" s="9"/>
    </row>
    <row r="10" spans="1:13" x14ac:dyDescent="0.25">
      <c r="A10" s="9" t="s">
        <v>16</v>
      </c>
      <c r="B10" s="9"/>
      <c r="C10" s="46">
        <f>PV(B5,1,,C8)</f>
        <v>-104.62962962962962</v>
      </c>
      <c r="D10" s="46">
        <f>PV(B5,2,,D8)</f>
        <v>-95.164609053497941</v>
      </c>
      <c r="E10" s="46">
        <f>PV(B5,3,,E8)</f>
        <v>-85.733882030178322</v>
      </c>
      <c r="F10" s="46">
        <f>PV(B5,4,,F8)</f>
        <v>-74.238015132441774</v>
      </c>
      <c r="G10" s="46">
        <f>PV(B5,5,,G8)</f>
        <v>-66.016570112274039</v>
      </c>
    </row>
    <row r="11" spans="1:13" x14ac:dyDescent="0.25">
      <c r="A11" s="9"/>
      <c r="B11" s="9"/>
      <c r="C11" s="9"/>
      <c r="D11" s="9" t="s">
        <v>13</v>
      </c>
      <c r="E11" s="9"/>
      <c r="F11" s="9"/>
      <c r="G11" s="9"/>
    </row>
    <row r="12" spans="1:13" x14ac:dyDescent="0.25">
      <c r="A12" s="9"/>
      <c r="B12" s="9"/>
      <c r="C12" s="9"/>
      <c r="D12" s="9"/>
      <c r="E12" s="9"/>
      <c r="F12" s="9"/>
      <c r="G12" s="9"/>
    </row>
    <row r="13" spans="1:13" x14ac:dyDescent="0.25">
      <c r="A13" s="9" t="s">
        <v>15</v>
      </c>
      <c r="B13" s="9"/>
      <c r="C13" s="46">
        <f>SUM(C10:G10)</f>
        <v>-425.78270595802172</v>
      </c>
      <c r="D13" s="9"/>
      <c r="E13" s="9"/>
      <c r="F13" s="9"/>
      <c r="G13" s="9"/>
    </row>
    <row r="14" spans="1:13" x14ac:dyDescent="0.25">
      <c r="A14" t="s">
        <v>12</v>
      </c>
    </row>
    <row r="16" spans="1:13" x14ac:dyDescent="0.25">
      <c r="A16" s="6" t="s">
        <v>118</v>
      </c>
      <c r="B16" s="6"/>
      <c r="C16" s="6"/>
    </row>
    <row r="18" spans="1:7" x14ac:dyDescent="0.25">
      <c r="A18" s="24" t="s">
        <v>0</v>
      </c>
      <c r="B18" s="71">
        <v>0.05</v>
      </c>
    </row>
    <row r="19" spans="1:7" x14ac:dyDescent="0.25">
      <c r="G19" s="8"/>
    </row>
    <row r="20" spans="1:7" x14ac:dyDescent="0.25">
      <c r="A20" s="9"/>
      <c r="B20" s="9"/>
      <c r="C20" s="9" t="s">
        <v>1</v>
      </c>
      <c r="D20" s="9" t="s">
        <v>2</v>
      </c>
      <c r="E20" s="9" t="s">
        <v>3</v>
      </c>
      <c r="F20" s="9" t="s">
        <v>4</v>
      </c>
      <c r="G20" s="9" t="s">
        <v>5</v>
      </c>
    </row>
    <row r="21" spans="1:7" x14ac:dyDescent="0.25">
      <c r="A21" s="9" t="s">
        <v>14</v>
      </c>
      <c r="B21" s="9"/>
      <c r="C21" s="9">
        <v>113</v>
      </c>
      <c r="D21" s="9">
        <v>111</v>
      </c>
      <c r="E21" s="9">
        <v>108</v>
      </c>
      <c r="F21" s="9">
        <v>101</v>
      </c>
      <c r="G21" s="9">
        <v>97</v>
      </c>
    </row>
    <row r="22" spans="1:7" x14ac:dyDescent="0.25">
      <c r="A22" s="9"/>
      <c r="B22" s="9"/>
      <c r="C22" s="9"/>
      <c r="D22" s="9"/>
      <c r="E22" s="9"/>
      <c r="F22" s="9"/>
      <c r="G22" s="9"/>
    </row>
    <row r="23" spans="1:7" x14ac:dyDescent="0.25">
      <c r="A23" s="9" t="s">
        <v>16</v>
      </c>
      <c r="B23" s="9"/>
      <c r="C23" s="46">
        <f>PV(B18,1,,C21)</f>
        <v>-107.61904761904762</v>
      </c>
      <c r="D23" s="46">
        <f>PV(B18,2,,D21)</f>
        <v>-100.68027210884354</v>
      </c>
      <c r="E23" s="46">
        <f>PV(B18,3,,E21)</f>
        <v>-93.294460641399411</v>
      </c>
      <c r="F23" s="46">
        <f>PV(B18,4,,F21)</f>
        <v>-83.092949953980082</v>
      </c>
      <c r="G23" s="46">
        <f>PV(B18,5,,G21)</f>
        <v>-76.002038147440516</v>
      </c>
    </row>
    <row r="24" spans="1:7" x14ac:dyDescent="0.25">
      <c r="A24" s="9"/>
      <c r="B24" s="9"/>
      <c r="C24" s="9"/>
      <c r="D24" s="9" t="s">
        <v>13</v>
      </c>
      <c r="E24" s="9"/>
      <c r="F24" s="9"/>
      <c r="G24" s="9"/>
    </row>
    <row r="25" spans="1:7" x14ac:dyDescent="0.25">
      <c r="A25" s="9"/>
      <c r="B25" s="9"/>
      <c r="C25" s="9"/>
      <c r="D25" s="9"/>
      <c r="E25" s="9"/>
      <c r="F25" s="9"/>
      <c r="G25" s="9"/>
    </row>
    <row r="26" spans="1:7" x14ac:dyDescent="0.25">
      <c r="A26" s="9" t="s">
        <v>15</v>
      </c>
      <c r="B26" s="9"/>
      <c r="C26" s="46">
        <f>SUM(C23:G23)</f>
        <v>-460.68876847071124</v>
      </c>
      <c r="D26" s="9"/>
      <c r="E26" s="9"/>
      <c r="F26" s="9"/>
      <c r="G26" s="9"/>
    </row>
    <row r="27" spans="1:7" x14ac:dyDescent="0.25">
      <c r="A27" t="s">
        <v>12</v>
      </c>
    </row>
    <row r="29" spans="1:7" x14ac:dyDescent="0.25">
      <c r="A29" s="6" t="s">
        <v>119</v>
      </c>
      <c r="B29" s="6"/>
      <c r="C29" s="6"/>
    </row>
    <row r="31" spans="1:7" x14ac:dyDescent="0.25">
      <c r="A31" s="9" t="s">
        <v>0</v>
      </c>
      <c r="B31" s="12">
        <v>0.15</v>
      </c>
    </row>
    <row r="33" spans="1:7" x14ac:dyDescent="0.25">
      <c r="A33" s="9"/>
      <c r="B33" s="9"/>
      <c r="C33" s="9" t="s">
        <v>1</v>
      </c>
      <c r="D33" s="9" t="s">
        <v>2</v>
      </c>
      <c r="E33" s="9" t="s">
        <v>3</v>
      </c>
      <c r="F33" s="9" t="s">
        <v>4</v>
      </c>
      <c r="G33" s="9" t="s">
        <v>5</v>
      </c>
    </row>
    <row r="34" spans="1:7" x14ac:dyDescent="0.25">
      <c r="A34" s="9" t="s">
        <v>14</v>
      </c>
      <c r="B34" s="9"/>
      <c r="C34" s="9">
        <v>113</v>
      </c>
      <c r="D34" s="9">
        <v>111</v>
      </c>
      <c r="E34" s="9">
        <v>108</v>
      </c>
      <c r="F34" s="9">
        <v>101</v>
      </c>
      <c r="G34" s="9">
        <v>97</v>
      </c>
    </row>
    <row r="35" spans="1:7" x14ac:dyDescent="0.25">
      <c r="A35" s="9"/>
      <c r="B35" s="9"/>
      <c r="C35" s="9"/>
      <c r="D35" s="9"/>
      <c r="E35" s="9"/>
      <c r="F35" s="9"/>
      <c r="G35" s="9"/>
    </row>
    <row r="36" spans="1:7" x14ac:dyDescent="0.25">
      <c r="A36" s="9" t="s">
        <v>16</v>
      </c>
      <c r="B36" s="9"/>
      <c r="C36" s="46">
        <f>PV(B31,1,,C34)</f>
        <v>-98.260869565217405</v>
      </c>
      <c r="D36" s="46">
        <f>PV(B31,2,,D34)</f>
        <v>-83.931947069943305</v>
      </c>
      <c r="E36" s="46">
        <f>PV(B31,3,,E34)</f>
        <v>-71.011753102654737</v>
      </c>
      <c r="F36" s="46">
        <f>PV(B31,4,,F34)</f>
        <v>-57.747077804896371</v>
      </c>
      <c r="G36" s="46">
        <f>PV(B31,5,,G34)</f>
        <v>-48.226143323934117</v>
      </c>
    </row>
    <row r="37" spans="1:7" x14ac:dyDescent="0.25">
      <c r="A37" s="9"/>
      <c r="B37" s="9"/>
      <c r="C37" s="46"/>
      <c r="D37" s="46" t="s">
        <v>13</v>
      </c>
      <c r="E37" s="46"/>
      <c r="F37" s="46"/>
      <c r="G37" s="46"/>
    </row>
    <row r="38" spans="1:7" x14ac:dyDescent="0.25">
      <c r="A38" s="9"/>
      <c r="B38" s="9"/>
      <c r="C38" s="46"/>
      <c r="D38" s="46"/>
      <c r="E38" s="46"/>
      <c r="F38" s="46"/>
      <c r="G38" s="46"/>
    </row>
    <row r="39" spans="1:7" x14ac:dyDescent="0.25">
      <c r="A39" s="9" t="s">
        <v>15</v>
      </c>
      <c r="B39" s="9"/>
      <c r="C39" s="46">
        <f>SUM(C36:G36)</f>
        <v>-359.17779086664598</v>
      </c>
      <c r="D39" s="46"/>
      <c r="E39" s="46"/>
      <c r="F39" s="46"/>
      <c r="G39" s="46"/>
    </row>
    <row r="40" spans="1:7" x14ac:dyDescent="0.25">
      <c r="A40" t="s">
        <v>12</v>
      </c>
      <c r="C40" s="22"/>
      <c r="D40" s="22"/>
      <c r="E40" s="22"/>
      <c r="F40" s="22"/>
      <c r="G40" s="22"/>
    </row>
  </sheetData>
  <sheetProtection algorithmName="SHA-512" hashValue="y99yXD0jUmHLe7keXAiJPh3+3GE9mUSdprPihrD9Tss698as5XR2WXSV+PPku7bwTN6gzSCRq29K5dM9LpkwuQ==" saltValue="a0asCU0/nNeBRBi4urfKLQ==" spinCount="100000" sheet="1" objects="1" scenarios="1"/>
  <protectedRanges>
    <protectedRange sqref="B31" name="Range2"/>
    <protectedRange sqref="B18" name="Range1"/>
  </protectedRanges>
  <mergeCells count="1">
    <mergeCell ref="J2:M2"/>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29"/>
  <sheetViews>
    <sheetView workbookViewId="0"/>
  </sheetViews>
  <sheetFormatPr defaultRowHeight="15.75" x14ac:dyDescent="0.25"/>
  <cols>
    <col min="2" max="2" width="12.75" customWidth="1"/>
    <col min="4" max="4" width="11" customWidth="1"/>
    <col min="5" max="5" width="13.875" customWidth="1"/>
    <col min="7" max="7" width="10.5" bestFit="1" customWidth="1"/>
    <col min="9" max="9" width="5.625" customWidth="1"/>
    <col min="10" max="10" width="16" customWidth="1"/>
    <col min="11" max="11" width="14.375" customWidth="1"/>
    <col min="12" max="12" width="12.875" customWidth="1"/>
    <col min="13" max="13" width="13.125" customWidth="1"/>
    <col min="14" max="14" width="13.5" customWidth="1"/>
    <col min="15" max="15" width="15" customWidth="1"/>
  </cols>
  <sheetData>
    <row r="1" spans="1:15" x14ac:dyDescent="0.25">
      <c r="B1" s="6" t="s">
        <v>31</v>
      </c>
      <c r="G1" s="56" t="s">
        <v>133</v>
      </c>
    </row>
    <row r="3" spans="1:15" x14ac:dyDescent="0.25">
      <c r="A3" s="6" t="s">
        <v>67</v>
      </c>
      <c r="B3" s="6" t="s">
        <v>64</v>
      </c>
      <c r="C3" s="6"/>
      <c r="D3" s="6"/>
      <c r="J3" s="6" t="s">
        <v>110</v>
      </c>
      <c r="K3" s="6" t="s">
        <v>106</v>
      </c>
      <c r="L3" s="6"/>
    </row>
    <row r="4" spans="1:15" x14ac:dyDescent="0.25">
      <c r="B4" s="24"/>
      <c r="C4" s="9"/>
      <c r="D4" s="24"/>
      <c r="E4" s="24"/>
      <c r="F4" s="24"/>
      <c r="G4" s="24"/>
      <c r="H4" s="24"/>
    </row>
    <row r="5" spans="1:15" x14ac:dyDescent="0.25">
      <c r="B5" s="24"/>
      <c r="C5" s="9"/>
      <c r="D5" s="11"/>
      <c r="E5" s="11"/>
      <c r="F5" s="11"/>
      <c r="G5" s="11"/>
      <c r="H5" s="11"/>
      <c r="J5" s="6"/>
      <c r="K5" s="35"/>
      <c r="L5" s="6"/>
      <c r="M5" s="9"/>
      <c r="N5" s="9"/>
      <c r="O5" s="9"/>
    </row>
    <row r="6" spans="1:15" x14ac:dyDescent="0.25">
      <c r="B6" s="9"/>
      <c r="C6" s="9"/>
      <c r="D6" s="9"/>
      <c r="E6" s="9"/>
      <c r="F6" s="9"/>
      <c r="G6" s="9"/>
      <c r="H6" s="9"/>
      <c r="J6" s="36"/>
      <c r="K6" s="9"/>
      <c r="L6" s="9"/>
      <c r="M6" s="9"/>
      <c r="N6" s="9"/>
      <c r="O6" s="9"/>
    </row>
    <row r="7" spans="1:15" x14ac:dyDescent="0.25">
      <c r="B7" s="9"/>
      <c r="C7" s="9"/>
      <c r="D7" s="46"/>
      <c r="E7" s="9"/>
      <c r="F7" s="9"/>
      <c r="G7" s="9"/>
      <c r="H7" s="9"/>
      <c r="J7" s="37"/>
      <c r="K7" s="38"/>
      <c r="L7" s="38"/>
      <c r="M7" s="38"/>
      <c r="N7" s="38"/>
      <c r="O7" s="38"/>
    </row>
    <row r="8" spans="1:15" x14ac:dyDescent="0.25">
      <c r="D8" s="57" t="b">
        <f>IF(D5=113,TRUE,FALSE)</f>
        <v>0</v>
      </c>
      <c r="E8" s="57" t="b">
        <f>IF(E5=111,TRUE,FALSE)</f>
        <v>0</v>
      </c>
      <c r="F8" s="57" t="b">
        <f>IF(F5=108,TRUE,FALSE)</f>
        <v>0</v>
      </c>
      <c r="G8" s="57" t="b">
        <f>IF(G5=101,TRUE,FALSE)</f>
        <v>0</v>
      </c>
      <c r="H8" s="57" t="b">
        <f>IF(H5=97,TRUE,FALSE)</f>
        <v>0</v>
      </c>
      <c r="J8" s="9"/>
      <c r="K8" s="39"/>
      <c r="L8" s="39"/>
      <c r="M8" s="39"/>
      <c r="N8" s="39"/>
      <c r="O8" s="39"/>
    </row>
    <row r="10" spans="1:15" x14ac:dyDescent="0.25">
      <c r="A10" s="6" t="s">
        <v>68</v>
      </c>
      <c r="B10" s="6" t="s">
        <v>69</v>
      </c>
      <c r="C10" s="6"/>
      <c r="D10" s="6"/>
      <c r="J10" s="6"/>
      <c r="K10" s="34"/>
      <c r="L10" s="6"/>
      <c r="M10" s="57" t="b">
        <f>IF(K10=O10,TRUE,FALSE)</f>
        <v>0</v>
      </c>
      <c r="O10" s="75">
        <v>9785570.7110007554</v>
      </c>
    </row>
    <row r="11" spans="1:15" x14ac:dyDescent="0.25">
      <c r="J11" s="6"/>
      <c r="K11" s="35"/>
      <c r="L11" s="6"/>
      <c r="M11" s="57" t="b">
        <f>IF(K11=O11,TRUE,FALSE)</f>
        <v>0</v>
      </c>
      <c r="O11" s="76">
        <v>0.49946887472190071</v>
      </c>
    </row>
    <row r="12" spans="1:15" ht="50.45" customHeight="1" x14ac:dyDescent="0.25">
      <c r="B12" s="20"/>
      <c r="C12" s="10"/>
      <c r="D12" s="10"/>
      <c r="E12" s="10"/>
      <c r="J12" s="6"/>
      <c r="K12" s="35"/>
      <c r="L12" s="6"/>
    </row>
    <row r="13" spans="1:15" x14ac:dyDescent="0.25">
      <c r="B13" s="9"/>
      <c r="C13" s="11"/>
      <c r="D13" s="12"/>
      <c r="E13" s="13"/>
      <c r="F13" s="57" t="b">
        <f>IF(C13=1.16,TRUE,FALSE)</f>
        <v>0</v>
      </c>
      <c r="J13" s="6" t="s">
        <v>105</v>
      </c>
      <c r="K13" s="6" t="s">
        <v>120</v>
      </c>
    </row>
    <row r="14" spans="1:15" x14ac:dyDescent="0.25">
      <c r="B14" s="9"/>
      <c r="C14" s="11"/>
      <c r="D14" s="12"/>
      <c r="E14" s="13"/>
      <c r="F14" s="57" t="b">
        <f>IF(C14=1.56,TRUE,FALSE)</f>
        <v>0</v>
      </c>
    </row>
    <row r="15" spans="1:15" x14ac:dyDescent="0.25">
      <c r="B15" s="9"/>
      <c r="C15" s="11"/>
      <c r="D15" s="12"/>
      <c r="E15" s="13"/>
      <c r="F15" s="57" t="b">
        <f>IF(C15=1.88,TRUE,FALSE)</f>
        <v>0</v>
      </c>
      <c r="J15" s="51"/>
      <c r="K15" s="55"/>
    </row>
    <row r="16" spans="1:15" x14ac:dyDescent="0.25">
      <c r="J16" s="24"/>
      <c r="K16" s="27"/>
      <c r="L16" s="46"/>
    </row>
    <row r="17" spans="2:13" x14ac:dyDescent="0.25">
      <c r="B17" s="6" t="s">
        <v>70</v>
      </c>
    </row>
    <row r="18" spans="2:13" x14ac:dyDescent="0.25">
      <c r="B18" t="s">
        <v>71</v>
      </c>
      <c r="J18" s="24"/>
      <c r="K18" s="12"/>
      <c r="M18" s="57" t="b">
        <f>IF(K18=5%,TRUE,FALSE)</f>
        <v>0</v>
      </c>
    </row>
    <row r="19" spans="2:13" x14ac:dyDescent="0.25">
      <c r="B19" s="24"/>
      <c r="C19" s="27"/>
      <c r="D19" s="30"/>
      <c r="E19" s="57" t="b">
        <f>IF(D19=G19,TRUE,FALSE)</f>
        <v>0</v>
      </c>
      <c r="G19" s="73">
        <v>9433.5751184351102</v>
      </c>
      <c r="J19" s="9"/>
      <c r="K19" s="9"/>
      <c r="L19" s="46"/>
    </row>
    <row r="20" spans="2:13" x14ac:dyDescent="0.25">
      <c r="E20" s="57"/>
    </row>
    <row r="21" spans="2:13" x14ac:dyDescent="0.25">
      <c r="B21" t="s">
        <v>72</v>
      </c>
      <c r="E21" s="57"/>
      <c r="J21" s="47"/>
      <c r="K21" s="54"/>
      <c r="M21" s="57" t="b">
        <f>IF(K21=15%,TRUE,FALSE)</f>
        <v>0</v>
      </c>
    </row>
    <row r="22" spans="2:13" x14ac:dyDescent="0.25">
      <c r="B22" s="24"/>
      <c r="C22" s="27"/>
      <c r="D22" s="11"/>
      <c r="E22" s="57" t="b">
        <f>IF(D22=G22,TRUE,FALSE)</f>
        <v>0</v>
      </c>
      <c r="G22" s="74">
        <v>5.4375</v>
      </c>
      <c r="J22" s="9"/>
      <c r="K22" s="9"/>
      <c r="L22" s="46"/>
    </row>
    <row r="23" spans="2:13" x14ac:dyDescent="0.25">
      <c r="B23" s="24"/>
      <c r="C23" s="27"/>
      <c r="D23" s="15"/>
      <c r="E23" s="57"/>
    </row>
    <row r="24" spans="2:13" x14ac:dyDescent="0.25">
      <c r="B24" s="24"/>
      <c r="C24" s="27"/>
      <c r="D24" s="30"/>
      <c r="E24" s="57" t="b">
        <f>IF(D24=G24,TRUE,FALSE)</f>
        <v>0</v>
      </c>
      <c r="G24" s="73">
        <v>24634.040370132934</v>
      </c>
    </row>
    <row r="25" spans="2:13" x14ac:dyDescent="0.25">
      <c r="E25" s="57"/>
    </row>
    <row r="26" spans="2:13" x14ac:dyDescent="0.25">
      <c r="B26" t="s">
        <v>73</v>
      </c>
      <c r="E26" s="57"/>
    </row>
    <row r="27" spans="2:13" x14ac:dyDescent="0.25">
      <c r="B27" s="24"/>
      <c r="C27" s="27"/>
      <c r="D27" s="11"/>
      <c r="E27" s="57" t="b">
        <f>IF(D27=G27,TRUE,FALSE)</f>
        <v>0</v>
      </c>
      <c r="G27" s="74">
        <v>0.4375</v>
      </c>
    </row>
    <row r="28" spans="2:13" x14ac:dyDescent="0.25">
      <c r="B28" s="24"/>
      <c r="C28" s="27"/>
      <c r="D28" s="15"/>
      <c r="E28" s="57"/>
    </row>
    <row r="29" spans="2:13" x14ac:dyDescent="0.25">
      <c r="B29" s="24"/>
      <c r="C29" s="27"/>
      <c r="D29" s="30"/>
      <c r="E29" s="57" t="b">
        <f>IF(D29=G29,TRUE,FALSE)</f>
        <v>0</v>
      </c>
      <c r="G29" s="73">
        <v>3528.3155260856824</v>
      </c>
    </row>
  </sheetData>
  <sheetProtection algorithmName="SHA-512" hashValue="hkEVVnuIuGTHRU53uy1NsiCAKmvyhkuzMoeoguLY5bXZE/kvvtVMq1PP6FlO+gg3cnAngWYcnVefLPGh/wPUuw==" saltValue="s5P7RnSUBcH7bT+eoLiQRw==" spinCount="100000" sheet="1" objects="1" scenarios="1"/>
  <protectedRanges>
    <protectedRange sqref="J6" name="Range2_5"/>
    <protectedRange sqref="K7:O8" name="Range3_5"/>
    <protectedRange sqref="C13:E15" name="Range1_1"/>
    <protectedRange sqref="D19" name="Range2_1"/>
    <protectedRange sqref="D24" name="Range4_2"/>
    <protectedRange sqref="D22" name="Range3_1"/>
    <protectedRange sqref="D29" name="Range6_2"/>
    <protectedRange sqref="D27" name="Range5_3"/>
    <protectedRange sqref="L5" name="Range5_4"/>
    <protectedRange sqref="D5:H5" name="FreeCashFlow_2"/>
  </protectedRanges>
  <dataValidations count="1">
    <dataValidation type="list" allowBlank="1" showInputMessage="1" showErrorMessage="1" sqref="L10:L12 L5">
      <formula1>ACCEPT</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Button 4">
              <controlPr defaultSize="0" print="0" autoFill="0" autoPict="0" macro="[0]!Macro7">
                <anchor moveWithCells="1">
                  <from>
                    <xdr:col>3</xdr:col>
                    <xdr:colOff>828675</xdr:colOff>
                    <xdr:row>0</xdr:row>
                    <xdr:rowOff>19050</xdr:rowOff>
                  </from>
                  <to>
                    <xdr:col>5</xdr:col>
                    <xdr:colOff>647700</xdr:colOff>
                    <xdr:row>1</xdr:row>
                    <xdr:rowOff>133350</xdr:rowOff>
                  </to>
                </anchor>
              </controlPr>
            </control>
          </mc:Choice>
        </mc:AlternateContent>
        <mc:AlternateContent xmlns:mc="http://schemas.openxmlformats.org/markup-compatibility/2006">
          <mc:Choice Requires="x14">
            <control shapeId="5126" r:id="rId5" name="Button 6">
              <controlPr defaultSize="0" print="0" autoFill="0" autoPict="0" macro="[0]!Macro8">
                <anchor moveWithCells="1">
                  <from>
                    <xdr:col>12</xdr:col>
                    <xdr:colOff>66675</xdr:colOff>
                    <xdr:row>0</xdr:row>
                    <xdr:rowOff>85725</xdr:rowOff>
                  </from>
                  <to>
                    <xdr:col>13</xdr:col>
                    <xdr:colOff>219075</xdr:colOff>
                    <xdr:row>1</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267F6D1A260A4394C18F5AF72445EA" ma:contentTypeVersion="3" ma:contentTypeDescription="Create a new document." ma:contentTypeScope="" ma:versionID="d6a723735a0ade9a92961b83aee31dda">
  <xsd:schema xmlns:xsd="http://www.w3.org/2001/XMLSchema" xmlns:xs="http://www.w3.org/2001/XMLSchema" xmlns:p="http://schemas.microsoft.com/office/2006/metadata/properties" targetNamespace="http://schemas.microsoft.com/office/2006/metadata/properties" ma:root="true" ma:fieldsID="e345bd7673956a623930e5662e321f3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85F813-BF5D-4FAA-8A7D-659DBC8D2B1B}">
  <ds:schemaRef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768B55E-AFB2-422F-9E6A-B73EB931A0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DE82878-ADBD-4BF0-96CF-B7E184F31A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Time Value of Money</vt:lpstr>
      <vt:lpstr>10%</vt:lpstr>
      <vt:lpstr>2 Stock and Bond Valuation</vt:lpstr>
      <vt:lpstr>3 Capital Budgeting Data</vt:lpstr>
      <vt:lpstr>4 Interest Rate Implications</vt:lpstr>
      <vt:lpstr>SUMMARY</vt:lpstr>
      <vt:lpstr>ACCEPT</vt:lpstr>
      <vt:lpstr>NPV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Hannah Mclean</dc:creator>
  <cp:lastModifiedBy>Ana Pancine</cp:lastModifiedBy>
  <dcterms:created xsi:type="dcterms:W3CDTF">2015-07-28T01:29:50Z</dcterms:created>
  <dcterms:modified xsi:type="dcterms:W3CDTF">2016-10-28T19:23:50Z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0x01010019267F6D1A260A4394C18F5AF72445EA</vt:lpwstr>
  </property>
</Properties>
</file>