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23040" windowHeight="9120" tabRatio="855" firstSheet="1" activeTab="1"/>
  </bookViews>
  <sheets>
    <sheet name="_CIQHiddenCacheSheet" sheetId="32" state="veryHidden" r:id="rId1"/>
    <sheet name="Landmark" sheetId="34" r:id="rId2"/>
    <sheet name="Debt Financing" sheetId="22" r:id="rId3"/>
    <sheet name="Mix of Debt &amp; Equity Financing" sheetId="37" r:id="rId4"/>
    <sheet name="FCF with Acqu" sheetId="35" r:id="rId5"/>
    <sheet name="Exhibit 3" sheetId="23" r:id="rId6"/>
    <sheet name="Exhibit 4" sheetId="24" r:id="rId7"/>
    <sheet name="Exhibit 5" sheetId="25" r:id="rId8"/>
  </sheets>
  <definedNames>
    <definedName name="CIQWBGuid" hidden="1">"afe9a56e-3065-4ad9-a438-fc9f48600bfd"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"09/30/2013 20:44:06"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olver_adj" localSheetId="1" hidden="1">Landmark!$O$21:$O$22,Landmark!$O$28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Landmark!$O$21</definedName>
    <definedName name="solver_lhs2" localSheetId="1" hidden="1">Landmark!$O$22</definedName>
    <definedName name="solver_lhs3" localSheetId="1" hidden="1">Landmark!$O$28</definedName>
    <definedName name="solver_lhs4" localSheetId="1" hidden="1">Landmark!$O$28</definedName>
    <definedName name="solver_lhs5" localSheetId="1" hidden="1">Landmark!$O$37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5</definedName>
    <definedName name="solver_nwt" localSheetId="1" hidden="1">1</definedName>
    <definedName name="solver_opt" localSheetId="1" hidden="1">Landmark!$O$23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2</definedName>
    <definedName name="solver_rhs1" localSheetId="1" hidden="1">30.5</definedName>
    <definedName name="solver_rhs2" localSheetId="1" hidden="1">4.7</definedName>
    <definedName name="solver_rhs3" localSheetId="1" hidden="1">10</definedName>
    <definedName name="solver_rhs4" localSheetId="1" hidden="1">0</definedName>
    <definedName name="solver_rhs5" localSheetId="1" hidden="1">5.5%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B29" i="35" l="1"/>
  <c r="C29" i="35"/>
  <c r="D29" i="35"/>
  <c r="E29" i="35"/>
  <c r="F29" i="35"/>
  <c r="G29" i="35"/>
  <c r="H29" i="35"/>
  <c r="I29" i="35"/>
  <c r="J29" i="35"/>
  <c r="J18" i="35"/>
  <c r="I18" i="35"/>
  <c r="H18" i="35"/>
  <c r="G18" i="35"/>
  <c r="F18" i="35"/>
  <c r="E18" i="35"/>
  <c r="D18" i="35"/>
  <c r="C18" i="35"/>
  <c r="B18" i="35"/>
  <c r="O32" i="34" l="1"/>
  <c r="N32" i="34"/>
  <c r="M32" i="34"/>
  <c r="L32" i="34"/>
  <c r="K32" i="34"/>
  <c r="J32" i="34"/>
  <c r="I32" i="34"/>
  <c r="H32" i="34"/>
  <c r="O31" i="34"/>
  <c r="N31" i="34"/>
  <c r="M31" i="34"/>
  <c r="L31" i="34"/>
  <c r="K31" i="34"/>
  <c r="J31" i="34"/>
  <c r="I31" i="34"/>
  <c r="H31" i="34"/>
  <c r="G32" i="34"/>
  <c r="G31" i="34"/>
  <c r="D53" i="35" l="1"/>
  <c r="B47" i="35"/>
  <c r="J28" i="35"/>
  <c r="I28" i="35"/>
  <c r="H28" i="35"/>
  <c r="G28" i="35"/>
  <c r="F28" i="35"/>
  <c r="E28" i="35"/>
  <c r="D28" i="35"/>
  <c r="C28" i="35"/>
  <c r="B28" i="35"/>
  <c r="J27" i="35"/>
  <c r="I27" i="35"/>
  <c r="H27" i="35"/>
  <c r="G27" i="35"/>
  <c r="F27" i="35"/>
  <c r="E27" i="35"/>
  <c r="D27" i="35"/>
  <c r="C27" i="35"/>
  <c r="B27" i="35"/>
  <c r="J25" i="35"/>
  <c r="I25" i="35"/>
  <c r="H25" i="35"/>
  <c r="G25" i="35"/>
  <c r="F25" i="35"/>
  <c r="E25" i="35"/>
  <c r="D25" i="35"/>
  <c r="C25" i="35"/>
  <c r="B25" i="35"/>
  <c r="J24" i="35"/>
  <c r="I24" i="35"/>
  <c r="H24" i="35"/>
  <c r="G24" i="35"/>
  <c r="F24" i="35"/>
  <c r="E24" i="35"/>
  <c r="D24" i="35"/>
  <c r="C24" i="35"/>
  <c r="B24" i="35"/>
  <c r="B30" i="35" s="1"/>
  <c r="B53" i="35"/>
  <c r="B51" i="35"/>
  <c r="B39" i="35"/>
  <c r="J5" i="35"/>
  <c r="I5" i="35"/>
  <c r="H5" i="35"/>
  <c r="G5" i="35"/>
  <c r="J4" i="35"/>
  <c r="I4" i="35"/>
  <c r="H4" i="35"/>
  <c r="G4" i="35"/>
  <c r="O32" i="37"/>
  <c r="N32" i="37"/>
  <c r="M32" i="37"/>
  <c r="L32" i="37"/>
  <c r="K32" i="37"/>
  <c r="J32" i="37"/>
  <c r="I32" i="37"/>
  <c r="H32" i="37"/>
  <c r="O30" i="37"/>
  <c r="N30" i="37"/>
  <c r="M30" i="37"/>
  <c r="L30" i="37"/>
  <c r="K30" i="37"/>
  <c r="J30" i="37"/>
  <c r="I30" i="37"/>
  <c r="H30" i="37"/>
  <c r="G30" i="37"/>
  <c r="O26" i="37"/>
  <c r="N26" i="37"/>
  <c r="M26" i="37"/>
  <c r="L26" i="37"/>
  <c r="K26" i="37"/>
  <c r="J26" i="37"/>
  <c r="I26" i="37"/>
  <c r="H26" i="37"/>
  <c r="G26" i="37"/>
  <c r="O26" i="22"/>
  <c r="N26" i="22"/>
  <c r="M26" i="22"/>
  <c r="L26" i="22"/>
  <c r="K26" i="22"/>
  <c r="J26" i="22"/>
  <c r="I26" i="22"/>
  <c r="H26" i="22"/>
  <c r="G26" i="22"/>
  <c r="G21" i="22"/>
  <c r="H21" i="22"/>
  <c r="I21" i="22"/>
  <c r="J21" i="22"/>
  <c r="J24" i="22" s="1"/>
  <c r="K21" i="22"/>
  <c r="L21" i="22"/>
  <c r="M21" i="22"/>
  <c r="N21" i="22"/>
  <c r="N24" i="22" s="1"/>
  <c r="O21" i="22"/>
  <c r="O24" i="22" s="1"/>
  <c r="L24" i="22"/>
  <c r="H24" i="22"/>
  <c r="G24" i="22"/>
  <c r="I30" i="22"/>
  <c r="O37" i="34"/>
  <c r="N37" i="34"/>
  <c r="M37" i="34"/>
  <c r="L37" i="34"/>
  <c r="K37" i="34"/>
  <c r="J37" i="34"/>
  <c r="I37" i="34"/>
  <c r="H37" i="34"/>
  <c r="G37" i="34"/>
  <c r="V21" i="34"/>
  <c r="U21" i="34"/>
  <c r="T21" i="34"/>
  <c r="S21" i="34"/>
  <c r="R21" i="34"/>
  <c r="Q21" i="34"/>
  <c r="R36" i="37"/>
  <c r="U34" i="37"/>
  <c r="T34" i="37"/>
  <c r="S34" i="37"/>
  <c r="R34" i="37"/>
  <c r="Q34" i="37"/>
  <c r="V34" i="37" s="1"/>
  <c r="U33" i="37"/>
  <c r="T33" i="37"/>
  <c r="S33" i="37"/>
  <c r="R33" i="37"/>
  <c r="Q33" i="37"/>
  <c r="V33" i="37" s="1"/>
  <c r="U32" i="37"/>
  <c r="T32" i="37"/>
  <c r="S32" i="37"/>
  <c r="R32" i="37"/>
  <c r="V32" i="37" s="1"/>
  <c r="Q32" i="37"/>
  <c r="U30" i="37"/>
  <c r="T30" i="37"/>
  <c r="S30" i="37"/>
  <c r="R30" i="37"/>
  <c r="Q30" i="37"/>
  <c r="V30" i="37" s="1"/>
  <c r="U29" i="37"/>
  <c r="T29" i="37"/>
  <c r="S29" i="37"/>
  <c r="R29" i="37"/>
  <c r="V29" i="37" s="1"/>
  <c r="Q29" i="37"/>
  <c r="U26" i="37"/>
  <c r="T26" i="37"/>
  <c r="S26" i="37"/>
  <c r="R26" i="37"/>
  <c r="Q26" i="37"/>
  <c r="V26" i="37" s="1"/>
  <c r="U25" i="37"/>
  <c r="T25" i="37"/>
  <c r="S25" i="37"/>
  <c r="R25" i="37"/>
  <c r="V25" i="37" s="1"/>
  <c r="H25" i="37" s="1"/>
  <c r="Q25" i="37"/>
  <c r="U23" i="37"/>
  <c r="T23" i="37"/>
  <c r="S23" i="37"/>
  <c r="R23" i="37"/>
  <c r="Q23" i="37"/>
  <c r="V23" i="37" s="1"/>
  <c r="G23" i="37" s="1"/>
  <c r="U22" i="37"/>
  <c r="T22" i="37"/>
  <c r="S22" i="37"/>
  <c r="R22" i="37"/>
  <c r="V22" i="37" s="1"/>
  <c r="Q22" i="37"/>
  <c r="U21" i="37"/>
  <c r="T21" i="37"/>
  <c r="S21" i="37"/>
  <c r="R21" i="37"/>
  <c r="Q21" i="37"/>
  <c r="V21" i="37" s="1"/>
  <c r="H21" i="37" s="1"/>
  <c r="F14" i="37"/>
  <c r="C14" i="37"/>
  <c r="B14" i="37"/>
  <c r="O13" i="37"/>
  <c r="N13" i="37"/>
  <c r="M13" i="37"/>
  <c r="L13" i="37"/>
  <c r="K13" i="37"/>
  <c r="J13" i="37"/>
  <c r="I13" i="37"/>
  <c r="H13" i="37"/>
  <c r="G13" i="37"/>
  <c r="F13" i="37"/>
  <c r="E13" i="37"/>
  <c r="E14" i="37" s="1"/>
  <c r="D13" i="37"/>
  <c r="D14" i="37" s="1"/>
  <c r="C13" i="37"/>
  <c r="B13" i="37"/>
  <c r="G8" i="37"/>
  <c r="H8" i="37" s="1"/>
  <c r="I8" i="37" s="1"/>
  <c r="J8" i="37" s="1"/>
  <c r="K8" i="37" s="1"/>
  <c r="L8" i="37" s="1"/>
  <c r="M8" i="37" s="1"/>
  <c r="N8" i="37" s="1"/>
  <c r="O8" i="37" s="1"/>
  <c r="H7" i="37"/>
  <c r="H4" i="37"/>
  <c r="G4" i="37"/>
  <c r="L10" i="22"/>
  <c r="K10" i="22"/>
  <c r="J10" i="22"/>
  <c r="I10" i="22"/>
  <c r="H10" i="22"/>
  <c r="G10" i="22"/>
  <c r="O32" i="22"/>
  <c r="N32" i="22"/>
  <c r="M32" i="22"/>
  <c r="L32" i="22"/>
  <c r="K32" i="22"/>
  <c r="J32" i="22"/>
  <c r="I32" i="22"/>
  <c r="H32" i="22"/>
  <c r="G32" i="22"/>
  <c r="G10" i="34"/>
  <c r="U32" i="34"/>
  <c r="T32" i="34"/>
  <c r="S32" i="34"/>
  <c r="R32" i="34"/>
  <c r="U31" i="34"/>
  <c r="T31" i="34"/>
  <c r="S31" i="34"/>
  <c r="R31" i="34"/>
  <c r="Q32" i="34"/>
  <c r="V32" i="34" s="1"/>
  <c r="Q31" i="34"/>
  <c r="V31" i="34" s="1"/>
  <c r="U28" i="34"/>
  <c r="T28" i="34"/>
  <c r="V28" i="34" s="1"/>
  <c r="S28" i="34"/>
  <c r="R28" i="34"/>
  <c r="Q28" i="34"/>
  <c r="U25" i="34"/>
  <c r="T25" i="34"/>
  <c r="S25" i="34"/>
  <c r="R25" i="34"/>
  <c r="U24" i="34"/>
  <c r="T24" i="34"/>
  <c r="S24" i="34"/>
  <c r="R24" i="34"/>
  <c r="Q25" i="34"/>
  <c r="Q24" i="34"/>
  <c r="U22" i="34"/>
  <c r="T22" i="34"/>
  <c r="S22" i="34"/>
  <c r="R22" i="34"/>
  <c r="Q22" i="34"/>
  <c r="Q20" i="34"/>
  <c r="U20" i="34"/>
  <c r="T20" i="34"/>
  <c r="S20" i="34"/>
  <c r="R20" i="34"/>
  <c r="V20" i="34" s="1"/>
  <c r="O13" i="34"/>
  <c r="K13" i="34"/>
  <c r="G13" i="34"/>
  <c r="C13" i="34"/>
  <c r="C14" i="34" s="1"/>
  <c r="B18" i="34"/>
  <c r="N13" i="34" s="1"/>
  <c r="U5" i="34"/>
  <c r="T5" i="34"/>
  <c r="S5" i="34"/>
  <c r="R5" i="34"/>
  <c r="V5" i="34" s="1"/>
  <c r="Q5" i="34"/>
  <c r="G8" i="34"/>
  <c r="H8" i="34" s="1"/>
  <c r="G9" i="34"/>
  <c r="G4" i="34"/>
  <c r="H4" i="34" s="1"/>
  <c r="F13" i="22"/>
  <c r="E13" i="22"/>
  <c r="D13" i="22"/>
  <c r="D14" i="22" s="1"/>
  <c r="C13" i="22"/>
  <c r="C14" i="22" s="1"/>
  <c r="B13" i="22"/>
  <c r="O13" i="22"/>
  <c r="N13" i="22"/>
  <c r="M13" i="22"/>
  <c r="L13" i="22"/>
  <c r="K13" i="22"/>
  <c r="J13" i="22"/>
  <c r="I13" i="22"/>
  <c r="H13" i="22"/>
  <c r="G13" i="22"/>
  <c r="E14" i="22"/>
  <c r="B14" i="22"/>
  <c r="F14" i="22"/>
  <c r="Q30" i="22"/>
  <c r="O23" i="22"/>
  <c r="N23" i="22"/>
  <c r="M23" i="22"/>
  <c r="L23" i="22"/>
  <c r="K23" i="22"/>
  <c r="J23" i="22"/>
  <c r="I23" i="22"/>
  <c r="H23" i="22"/>
  <c r="O22" i="22"/>
  <c r="N22" i="22"/>
  <c r="M22" i="22"/>
  <c r="L22" i="22"/>
  <c r="K22" i="22"/>
  <c r="J22" i="22"/>
  <c r="I22" i="22"/>
  <c r="H22" i="22"/>
  <c r="G23" i="22"/>
  <c r="G22" i="22"/>
  <c r="M24" i="22"/>
  <c r="K24" i="22"/>
  <c r="I24" i="22"/>
  <c r="V23" i="22"/>
  <c r="V22" i="22"/>
  <c r="U22" i="22"/>
  <c r="T22" i="22"/>
  <c r="S22" i="22"/>
  <c r="R22" i="22"/>
  <c r="Q22" i="22"/>
  <c r="U23" i="22"/>
  <c r="T23" i="22"/>
  <c r="S23" i="22"/>
  <c r="R23" i="22"/>
  <c r="Q23" i="22"/>
  <c r="Q21" i="22"/>
  <c r="V21" i="22"/>
  <c r="U21" i="22"/>
  <c r="T21" i="22"/>
  <c r="S21" i="22"/>
  <c r="R21" i="22"/>
  <c r="O31" i="22"/>
  <c r="K31" i="22"/>
  <c r="J31" i="22"/>
  <c r="I31" i="22"/>
  <c r="H31" i="22"/>
  <c r="G31" i="22"/>
  <c r="B31" i="35" l="1"/>
  <c r="C46" i="35" s="1"/>
  <c r="L31" i="22"/>
  <c r="I4" i="34"/>
  <c r="H5" i="34"/>
  <c r="H9" i="34"/>
  <c r="H20" i="34"/>
  <c r="I8" i="34"/>
  <c r="G11" i="34"/>
  <c r="G12" i="34" s="1"/>
  <c r="G5" i="34"/>
  <c r="G30" i="34" s="1"/>
  <c r="G33" i="34" s="1"/>
  <c r="D13" i="34"/>
  <c r="D14" i="34" s="1"/>
  <c r="H13" i="34"/>
  <c r="L13" i="34"/>
  <c r="V22" i="34"/>
  <c r="G20" i="34"/>
  <c r="G23" i="34" s="1"/>
  <c r="V24" i="34"/>
  <c r="V25" i="34"/>
  <c r="I25" i="34" s="1"/>
  <c r="E13" i="34"/>
  <c r="E14" i="34" s="1"/>
  <c r="I13" i="34"/>
  <c r="M13" i="34"/>
  <c r="B13" i="34"/>
  <c r="B14" i="34" s="1"/>
  <c r="F13" i="34"/>
  <c r="F14" i="34" s="1"/>
  <c r="J13" i="34"/>
  <c r="I24" i="34"/>
  <c r="H24" i="34"/>
  <c r="G24" i="34"/>
  <c r="G22" i="37"/>
  <c r="H22" i="37"/>
  <c r="G25" i="37"/>
  <c r="G21" i="37"/>
  <c r="G24" i="37" s="1"/>
  <c r="G27" i="37" s="1"/>
  <c r="G7" i="37"/>
  <c r="G6" i="37"/>
  <c r="H6" i="37"/>
  <c r="H9" i="37" s="1"/>
  <c r="H23" i="37"/>
  <c r="H24" i="37" s="1"/>
  <c r="I4" i="37"/>
  <c r="H10" i="34"/>
  <c r="I10" i="34" s="1"/>
  <c r="O29" i="22"/>
  <c r="N29" i="22"/>
  <c r="M29" i="22"/>
  <c r="L29" i="22"/>
  <c r="K29" i="22"/>
  <c r="J29" i="22"/>
  <c r="I29" i="22"/>
  <c r="H29" i="22"/>
  <c r="G29" i="22"/>
  <c r="U29" i="22"/>
  <c r="T29" i="22"/>
  <c r="S29" i="22"/>
  <c r="R29" i="22"/>
  <c r="Q29" i="22"/>
  <c r="U25" i="22"/>
  <c r="U26" i="22"/>
  <c r="U30" i="22"/>
  <c r="U32" i="22"/>
  <c r="U33" i="22"/>
  <c r="U34" i="22"/>
  <c r="T25" i="22"/>
  <c r="T26" i="22"/>
  <c r="T30" i="22"/>
  <c r="T32" i="22"/>
  <c r="T33" i="22"/>
  <c r="T34" i="22"/>
  <c r="S25" i="22"/>
  <c r="S26" i="22"/>
  <c r="S30" i="22"/>
  <c r="S32" i="22"/>
  <c r="S33" i="22"/>
  <c r="S34" i="22"/>
  <c r="R25" i="22"/>
  <c r="R26" i="22"/>
  <c r="R30" i="22"/>
  <c r="R32" i="22"/>
  <c r="R33" i="22"/>
  <c r="R34" i="22"/>
  <c r="Q32" i="22"/>
  <c r="Q33" i="22"/>
  <c r="Q34" i="22"/>
  <c r="V34" i="22" s="1"/>
  <c r="Q25" i="22"/>
  <c r="V25" i="22" s="1"/>
  <c r="Q26" i="22"/>
  <c r="O12" i="22"/>
  <c r="O16" i="22" s="1"/>
  <c r="N12" i="22"/>
  <c r="N16" i="22" s="1"/>
  <c r="M12" i="22"/>
  <c r="L12" i="22"/>
  <c r="K12" i="22"/>
  <c r="K16" i="22" s="1"/>
  <c r="J12" i="22"/>
  <c r="J16" i="22" s="1"/>
  <c r="I12" i="22"/>
  <c r="H12" i="22"/>
  <c r="G12" i="22"/>
  <c r="G16" i="22" s="1"/>
  <c r="O11" i="22"/>
  <c r="N11" i="22"/>
  <c r="M11" i="22"/>
  <c r="L11" i="22"/>
  <c r="K11" i="22"/>
  <c r="J11" i="22"/>
  <c r="I11" i="22"/>
  <c r="H11" i="22"/>
  <c r="G11" i="22"/>
  <c r="J17" i="35"/>
  <c r="I17" i="35"/>
  <c r="H17" i="35"/>
  <c r="G17" i="35"/>
  <c r="F17" i="35"/>
  <c r="E17" i="35"/>
  <c r="D17" i="35"/>
  <c r="C17" i="35"/>
  <c r="B17" i="35"/>
  <c r="J14" i="35"/>
  <c r="J16" i="35" s="1"/>
  <c r="I14" i="35"/>
  <c r="I16" i="35" s="1"/>
  <c r="H14" i="35"/>
  <c r="H16" i="35" s="1"/>
  <c r="G14" i="35"/>
  <c r="G16" i="35" s="1"/>
  <c r="F14" i="35"/>
  <c r="E14" i="35"/>
  <c r="D14" i="35"/>
  <c r="C14" i="35"/>
  <c r="B14" i="35"/>
  <c r="B16" i="35" s="1"/>
  <c r="O9" i="22"/>
  <c r="N9" i="22"/>
  <c r="M9" i="22"/>
  <c r="L9" i="22"/>
  <c r="K9" i="22"/>
  <c r="J9" i="22"/>
  <c r="I9" i="22"/>
  <c r="H9" i="22"/>
  <c r="G9" i="22"/>
  <c r="H8" i="22"/>
  <c r="I8" i="22" s="1"/>
  <c r="J8" i="22" s="1"/>
  <c r="K8" i="22" s="1"/>
  <c r="L8" i="22" s="1"/>
  <c r="M8" i="22" s="1"/>
  <c r="N8" i="22" s="1"/>
  <c r="O8" i="22" s="1"/>
  <c r="G8" i="22"/>
  <c r="O7" i="22"/>
  <c r="N7" i="22"/>
  <c r="M7" i="22"/>
  <c r="L7" i="22"/>
  <c r="K7" i="22"/>
  <c r="J7" i="22"/>
  <c r="I7" i="22"/>
  <c r="H7" i="22"/>
  <c r="G7" i="22"/>
  <c r="O5" i="22"/>
  <c r="N5" i="22"/>
  <c r="M5" i="22"/>
  <c r="L5" i="22"/>
  <c r="K5" i="22"/>
  <c r="J5" i="22"/>
  <c r="I5" i="22"/>
  <c r="H5" i="22"/>
  <c r="G5" i="22"/>
  <c r="O6" i="22"/>
  <c r="N6" i="22"/>
  <c r="M6" i="22"/>
  <c r="L6" i="22"/>
  <c r="K6" i="22"/>
  <c r="I6" i="22"/>
  <c r="J6" i="22"/>
  <c r="H6" i="22"/>
  <c r="G6" i="22"/>
  <c r="M4" i="22"/>
  <c r="N4" i="22" s="1"/>
  <c r="O4" i="22" s="1"/>
  <c r="L4" i="22"/>
  <c r="J4" i="22"/>
  <c r="K4" i="22" s="1"/>
  <c r="I4" i="22"/>
  <c r="H4" i="22"/>
  <c r="G4" i="22"/>
  <c r="B13" i="35"/>
  <c r="B19" i="35" s="1"/>
  <c r="B6" i="35"/>
  <c r="C6" i="35" s="1"/>
  <c r="D6" i="35" s="1"/>
  <c r="E6" i="35" s="1"/>
  <c r="F6" i="35" s="1"/>
  <c r="G6" i="35" s="1"/>
  <c r="H6" i="35" s="1"/>
  <c r="B3" i="35"/>
  <c r="B7" i="35" s="1"/>
  <c r="C30" i="35" l="1"/>
  <c r="C31" i="35" s="1"/>
  <c r="D46" i="35" s="1"/>
  <c r="I6" i="35"/>
  <c r="N31" i="22"/>
  <c r="M31" i="22"/>
  <c r="G16" i="34"/>
  <c r="G14" i="34"/>
  <c r="G34" i="34" s="1"/>
  <c r="G25" i="34"/>
  <c r="H25" i="34"/>
  <c r="G6" i="34"/>
  <c r="G7" i="34" s="1"/>
  <c r="H11" i="34"/>
  <c r="H6" i="34"/>
  <c r="H7" i="34" s="1"/>
  <c r="H30" i="34"/>
  <c r="H33" i="34" s="1"/>
  <c r="H23" i="34"/>
  <c r="H26" i="34" s="1"/>
  <c r="J8" i="34"/>
  <c r="J4" i="34"/>
  <c r="I5" i="34"/>
  <c r="I30" i="34" s="1"/>
  <c r="I20" i="34"/>
  <c r="I23" i="34" s="1"/>
  <c r="I26" i="34" s="1"/>
  <c r="I6" i="34"/>
  <c r="I9" i="34"/>
  <c r="G26" i="34"/>
  <c r="H27" i="37"/>
  <c r="G5" i="37"/>
  <c r="G9" i="37"/>
  <c r="H11" i="37"/>
  <c r="I23" i="37"/>
  <c r="I5" i="37"/>
  <c r="J4" i="37"/>
  <c r="I22" i="37"/>
  <c r="I25" i="37"/>
  <c r="I21" i="37"/>
  <c r="I24" i="37" s="1"/>
  <c r="I7" i="37"/>
  <c r="I6" i="37"/>
  <c r="H5" i="37"/>
  <c r="O14" i="22"/>
  <c r="K14" i="22"/>
  <c r="L14" i="22"/>
  <c r="L16" i="22"/>
  <c r="I16" i="22"/>
  <c r="I14" i="22"/>
  <c r="G14" i="22"/>
  <c r="G36" i="22" s="1"/>
  <c r="H14" i="22"/>
  <c r="H16" i="22"/>
  <c r="M16" i="22"/>
  <c r="M14" i="22"/>
  <c r="J14" i="22"/>
  <c r="N14" i="22"/>
  <c r="H12" i="34"/>
  <c r="H14" i="34" s="1"/>
  <c r="H34" i="34" s="1"/>
  <c r="J10" i="34"/>
  <c r="G35" i="34"/>
  <c r="V32" i="22"/>
  <c r="V26" i="22"/>
  <c r="V33" i="22"/>
  <c r="N33" i="22" s="1"/>
  <c r="O25" i="22"/>
  <c r="K25" i="22"/>
  <c r="G25" i="22"/>
  <c r="G27" i="22" s="1"/>
  <c r="N25" i="22"/>
  <c r="J25" i="22"/>
  <c r="L25" i="22"/>
  <c r="M25" i="22"/>
  <c r="I25" i="22"/>
  <c r="H25" i="22"/>
  <c r="M34" i="22"/>
  <c r="I34" i="22"/>
  <c r="L34" i="22"/>
  <c r="H34" i="22"/>
  <c r="O34" i="22"/>
  <c r="K34" i="22"/>
  <c r="G34" i="22"/>
  <c r="N34" i="22"/>
  <c r="J34" i="22"/>
  <c r="I33" i="22"/>
  <c r="K33" i="22"/>
  <c r="C13" i="35"/>
  <c r="V30" i="22"/>
  <c r="V29" i="22"/>
  <c r="B20" i="35"/>
  <c r="C3" i="35"/>
  <c r="B4" i="35"/>
  <c r="B5" i="35" s="1"/>
  <c r="B8" i="35"/>
  <c r="C16" i="35"/>
  <c r="B17" i="23"/>
  <c r="B6" i="23"/>
  <c r="C6" i="23" s="1"/>
  <c r="D6" i="23" s="1"/>
  <c r="C38" i="35" l="1"/>
  <c r="C45" i="35"/>
  <c r="C47" i="35" s="1"/>
  <c r="D30" i="35"/>
  <c r="J6" i="35"/>
  <c r="K8" i="34"/>
  <c r="I33" i="34"/>
  <c r="I11" i="34"/>
  <c r="I12" i="34" s="1"/>
  <c r="K4" i="34"/>
  <c r="J20" i="34"/>
  <c r="J5" i="34"/>
  <c r="J30" i="34" s="1"/>
  <c r="J9" i="34"/>
  <c r="J25" i="34"/>
  <c r="J23" i="34"/>
  <c r="J26" i="34" s="1"/>
  <c r="J24" i="34"/>
  <c r="I7" i="34"/>
  <c r="H16" i="34"/>
  <c r="I27" i="37"/>
  <c r="J22" i="37"/>
  <c r="J25" i="37"/>
  <c r="J21" i="37"/>
  <c r="J7" i="37"/>
  <c r="J5" i="37"/>
  <c r="J23" i="37"/>
  <c r="J6" i="37"/>
  <c r="J9" i="37" s="1"/>
  <c r="K4" i="37"/>
  <c r="H34" i="37"/>
  <c r="H29" i="37"/>
  <c r="H31" i="37" s="1"/>
  <c r="H35" i="37" s="1"/>
  <c r="H33" i="37"/>
  <c r="H10" i="37"/>
  <c r="H12" i="37" s="1"/>
  <c r="I33" i="37"/>
  <c r="I10" i="37"/>
  <c r="I29" i="37"/>
  <c r="I31" i="37" s="1"/>
  <c r="I34" i="37"/>
  <c r="G11" i="37"/>
  <c r="I9" i="37"/>
  <c r="G34" i="37"/>
  <c r="G29" i="37"/>
  <c r="G31" i="37" s="1"/>
  <c r="G33" i="37"/>
  <c r="G32" i="37"/>
  <c r="G10" i="37" s="1"/>
  <c r="H36" i="22"/>
  <c r="I36" i="22" s="1"/>
  <c r="J36" i="22" s="1"/>
  <c r="K36" i="22" s="1"/>
  <c r="L36" i="22" s="1"/>
  <c r="M36" i="22" s="1"/>
  <c r="N36" i="22" s="1"/>
  <c r="O36" i="22" s="1"/>
  <c r="K10" i="34"/>
  <c r="H35" i="34"/>
  <c r="C7" i="35"/>
  <c r="C4" i="35"/>
  <c r="C5" i="35" s="1"/>
  <c r="L27" i="22"/>
  <c r="N27" i="22"/>
  <c r="O27" i="22"/>
  <c r="J27" i="22"/>
  <c r="O33" i="22"/>
  <c r="M33" i="22"/>
  <c r="H27" i="22"/>
  <c r="K27" i="22"/>
  <c r="J33" i="22"/>
  <c r="J35" i="22" s="1"/>
  <c r="O35" i="22"/>
  <c r="H33" i="22"/>
  <c r="H35" i="22" s="1"/>
  <c r="G33" i="22"/>
  <c r="L33" i="22"/>
  <c r="L35" i="22" s="1"/>
  <c r="M27" i="22"/>
  <c r="I27" i="22"/>
  <c r="N35" i="22"/>
  <c r="D13" i="35"/>
  <c r="C19" i="35"/>
  <c r="C20" i="35" s="1"/>
  <c r="I35" i="22"/>
  <c r="G35" i="22"/>
  <c r="G37" i="22" s="1"/>
  <c r="M35" i="22"/>
  <c r="K35" i="22"/>
  <c r="B9" i="35"/>
  <c r="C37" i="35" s="1"/>
  <c r="C39" i="35" s="1"/>
  <c r="C8" i="35"/>
  <c r="D3" i="35"/>
  <c r="D16" i="35"/>
  <c r="E6" i="23"/>
  <c r="F6" i="23" s="1"/>
  <c r="B3" i="23"/>
  <c r="B8" i="23" s="1"/>
  <c r="B13" i="23"/>
  <c r="D38" i="35" l="1"/>
  <c r="D45" i="35"/>
  <c r="D47" i="35" s="1"/>
  <c r="E30" i="35"/>
  <c r="E31" i="35"/>
  <c r="F46" i="35" s="1"/>
  <c r="D31" i="35"/>
  <c r="E46" i="35" s="1"/>
  <c r="I14" i="34"/>
  <c r="I34" i="34" s="1"/>
  <c r="I16" i="34"/>
  <c r="J6" i="34"/>
  <c r="J7" i="34" s="1"/>
  <c r="J33" i="34"/>
  <c r="J11" i="34"/>
  <c r="J12" i="34" s="1"/>
  <c r="K9" i="34"/>
  <c r="L4" i="34"/>
  <c r="K6" i="34"/>
  <c r="K7" i="34" s="1"/>
  <c r="K5" i="34"/>
  <c r="K30" i="34" s="1"/>
  <c r="K20" i="34"/>
  <c r="K23" i="34" s="1"/>
  <c r="K24" i="34"/>
  <c r="K25" i="34"/>
  <c r="L8" i="34"/>
  <c r="G12" i="37"/>
  <c r="G16" i="37" s="1"/>
  <c r="G14" i="37"/>
  <c r="G36" i="37" s="1"/>
  <c r="H16" i="37"/>
  <c r="H14" i="37"/>
  <c r="K25" i="37"/>
  <c r="K21" i="37"/>
  <c r="K7" i="37"/>
  <c r="K6" i="37"/>
  <c r="K9" i="37" s="1"/>
  <c r="K23" i="37"/>
  <c r="K22" i="37"/>
  <c r="K5" i="37"/>
  <c r="L4" i="37"/>
  <c r="G35" i="37"/>
  <c r="G37" i="37" s="1"/>
  <c r="J10" i="37"/>
  <c r="J12" i="37" s="1"/>
  <c r="J34" i="37"/>
  <c r="J29" i="37"/>
  <c r="J31" i="37" s="1"/>
  <c r="J33" i="37"/>
  <c r="I12" i="37"/>
  <c r="I11" i="37"/>
  <c r="I35" i="37"/>
  <c r="J11" i="37"/>
  <c r="J24" i="37"/>
  <c r="J27" i="37" s="1"/>
  <c r="I37" i="22"/>
  <c r="H37" i="22"/>
  <c r="K37" i="22"/>
  <c r="N37" i="22"/>
  <c r="M37" i="22"/>
  <c r="L37" i="22"/>
  <c r="J37" i="22"/>
  <c r="O37" i="22"/>
  <c r="J16" i="34"/>
  <c r="J14" i="34"/>
  <c r="J34" i="34" s="1"/>
  <c r="L10" i="34"/>
  <c r="I35" i="34"/>
  <c r="D4" i="35"/>
  <c r="D5" i="35" s="1"/>
  <c r="D7" i="35"/>
  <c r="C9" i="35"/>
  <c r="D37" i="35" s="1"/>
  <c r="D39" i="35" s="1"/>
  <c r="E13" i="35"/>
  <c r="D19" i="35"/>
  <c r="D20" i="35" s="1"/>
  <c r="E16" i="35"/>
  <c r="D8" i="35"/>
  <c r="E3" i="35"/>
  <c r="C5" i="24"/>
  <c r="D5" i="24"/>
  <c r="B5" i="24"/>
  <c r="E38" i="35" l="1"/>
  <c r="E45" i="35"/>
  <c r="E47" i="35" s="1"/>
  <c r="F30" i="35"/>
  <c r="M8" i="34"/>
  <c r="L5" i="34"/>
  <c r="L30" i="34" s="1"/>
  <c r="L20" i="34"/>
  <c r="M4" i="34"/>
  <c r="L9" i="34"/>
  <c r="L24" i="34"/>
  <c r="L25" i="34"/>
  <c r="K26" i="34"/>
  <c r="K33" i="34"/>
  <c r="K11" i="34"/>
  <c r="K12" i="34" s="1"/>
  <c r="K14" i="34" s="1"/>
  <c r="K34" i="34" s="1"/>
  <c r="K11" i="37"/>
  <c r="J35" i="37"/>
  <c r="K24" i="37"/>
  <c r="K27" i="37" s="1"/>
  <c r="H36" i="37"/>
  <c r="J16" i="37"/>
  <c r="J14" i="37"/>
  <c r="I14" i="37"/>
  <c r="I16" i="37"/>
  <c r="K34" i="37"/>
  <c r="K29" i="37"/>
  <c r="K31" i="37" s="1"/>
  <c r="K33" i="37"/>
  <c r="K10" i="37"/>
  <c r="K12" i="37" s="1"/>
  <c r="L6" i="37"/>
  <c r="L9" i="37" s="1"/>
  <c r="L23" i="37"/>
  <c r="M4" i="37"/>
  <c r="L22" i="37"/>
  <c r="L21" i="37"/>
  <c r="L7" i="37"/>
  <c r="L25" i="37"/>
  <c r="M10" i="34"/>
  <c r="K16" i="34"/>
  <c r="J35" i="34"/>
  <c r="E7" i="35"/>
  <c r="E4" i="35"/>
  <c r="E5" i="35" s="1"/>
  <c r="F13" i="35"/>
  <c r="E19" i="35"/>
  <c r="E20" i="35" s="1"/>
  <c r="E8" i="35"/>
  <c r="F3" i="35"/>
  <c r="G3" i="35" s="1"/>
  <c r="F16" i="35"/>
  <c r="D9" i="35"/>
  <c r="E37" i="35" s="1"/>
  <c r="C3" i="23"/>
  <c r="C8" i="23" s="1"/>
  <c r="E39" i="35" l="1"/>
  <c r="F38" i="35"/>
  <c r="F45" i="35"/>
  <c r="F47" i="35" s="1"/>
  <c r="F31" i="35"/>
  <c r="G46" i="35" s="1"/>
  <c r="G30" i="35"/>
  <c r="G8" i="35"/>
  <c r="G7" i="35"/>
  <c r="H3" i="35"/>
  <c r="L33" i="34"/>
  <c r="L11" i="34"/>
  <c r="L12" i="34" s="1"/>
  <c r="L6" i="34"/>
  <c r="L7" i="34" s="1"/>
  <c r="N4" i="34"/>
  <c r="M5" i="34"/>
  <c r="M30" i="34" s="1"/>
  <c r="M20" i="34"/>
  <c r="M9" i="34"/>
  <c r="M25" i="34"/>
  <c r="M6" i="34"/>
  <c r="M7" i="34" s="1"/>
  <c r="M24" i="34"/>
  <c r="L23" i="34"/>
  <c r="L26" i="34" s="1"/>
  <c r="N8" i="34"/>
  <c r="E9" i="35"/>
  <c r="F37" i="35" s="1"/>
  <c r="K35" i="37"/>
  <c r="K16" i="37"/>
  <c r="K14" i="37"/>
  <c r="I36" i="37"/>
  <c r="H37" i="37"/>
  <c r="L11" i="37"/>
  <c r="M23" i="37"/>
  <c r="N4" i="37"/>
  <c r="M22" i="37"/>
  <c r="M25" i="37"/>
  <c r="M21" i="37"/>
  <c r="M24" i="37" s="1"/>
  <c r="M7" i="37"/>
  <c r="M6" i="37"/>
  <c r="M5" i="37" s="1"/>
  <c r="L24" i="37"/>
  <c r="L27" i="37" s="1"/>
  <c r="L5" i="37"/>
  <c r="L14" i="34"/>
  <c r="L16" i="34"/>
  <c r="N10" i="34"/>
  <c r="L34" i="34"/>
  <c r="K35" i="34"/>
  <c r="F7" i="35"/>
  <c r="F4" i="35"/>
  <c r="F5" i="35" s="1"/>
  <c r="F19" i="35"/>
  <c r="F20" i="35" s="1"/>
  <c r="G13" i="35"/>
  <c r="F8" i="35"/>
  <c r="B19" i="23"/>
  <c r="C13" i="23"/>
  <c r="D3" i="23"/>
  <c r="D8" i="23" s="1"/>
  <c r="C4" i="23"/>
  <c r="R17" i="23" s="1"/>
  <c r="C7" i="23"/>
  <c r="B4" i="23"/>
  <c r="Q17" i="23" s="1"/>
  <c r="F39" i="35" l="1"/>
  <c r="G38" i="35"/>
  <c r="G45" i="35"/>
  <c r="G47" i="35" s="1"/>
  <c r="G31" i="35"/>
  <c r="H46" i="35" s="1"/>
  <c r="H30" i="35"/>
  <c r="I3" i="35"/>
  <c r="H8" i="35"/>
  <c r="H7" i="35"/>
  <c r="G9" i="35"/>
  <c r="H37" i="35" s="1"/>
  <c r="O8" i="34"/>
  <c r="M23" i="34"/>
  <c r="M26" i="34" s="1"/>
  <c r="M33" i="34"/>
  <c r="M11" i="34"/>
  <c r="M12" i="34" s="1"/>
  <c r="O4" i="34"/>
  <c r="N20" i="34"/>
  <c r="N9" i="34"/>
  <c r="N5" i="34"/>
  <c r="N30" i="34" s="1"/>
  <c r="N24" i="34"/>
  <c r="N6" i="34"/>
  <c r="N7" i="34" s="1"/>
  <c r="N25" i="34"/>
  <c r="M33" i="37"/>
  <c r="M34" i="37"/>
  <c r="M29" i="37"/>
  <c r="M31" i="37" s="1"/>
  <c r="M35" i="37" s="1"/>
  <c r="M27" i="37"/>
  <c r="N22" i="37"/>
  <c r="N25" i="37"/>
  <c r="N21" i="37"/>
  <c r="N7" i="37"/>
  <c r="N6" i="37"/>
  <c r="N9" i="37" s="1"/>
  <c r="N5" i="37"/>
  <c r="O4" i="37"/>
  <c r="N23" i="37"/>
  <c r="J36" i="37"/>
  <c r="I37" i="37"/>
  <c r="L34" i="37"/>
  <c r="L29" i="37"/>
  <c r="L31" i="37" s="1"/>
  <c r="L33" i="37"/>
  <c r="L10" i="37"/>
  <c r="L12" i="37" s="1"/>
  <c r="M9" i="37"/>
  <c r="M16" i="34"/>
  <c r="M14" i="34"/>
  <c r="M34" i="34" s="1"/>
  <c r="O10" i="34"/>
  <c r="L35" i="34"/>
  <c r="Q19" i="23"/>
  <c r="H13" i="35"/>
  <c r="G19" i="35"/>
  <c r="G20" i="35" s="1"/>
  <c r="F9" i="35"/>
  <c r="G37" i="35" s="1"/>
  <c r="G39" i="35" s="1"/>
  <c r="C19" i="23"/>
  <c r="R19" i="23" s="1"/>
  <c r="C18" i="23"/>
  <c r="R18" i="23" s="1"/>
  <c r="D13" i="23"/>
  <c r="D18" i="23" s="1"/>
  <c r="E3" i="23"/>
  <c r="E8" i="23" s="1"/>
  <c r="D4" i="23"/>
  <c r="S17" i="23" s="1"/>
  <c r="D7" i="23"/>
  <c r="H38" i="35" l="1"/>
  <c r="H39" i="35" s="1"/>
  <c r="H45" i="35"/>
  <c r="H47" i="35" s="1"/>
  <c r="H31" i="35"/>
  <c r="I46" i="35" s="1"/>
  <c r="I30" i="35"/>
  <c r="H9" i="35"/>
  <c r="I37" i="35" s="1"/>
  <c r="J3" i="35"/>
  <c r="I8" i="35"/>
  <c r="I7" i="35"/>
  <c r="O9" i="34"/>
  <c r="O20" i="34"/>
  <c r="O5" i="34"/>
  <c r="O30" i="34" s="1"/>
  <c r="O25" i="34"/>
  <c r="O24" i="34"/>
  <c r="O23" i="34"/>
  <c r="O26" i="34" s="1"/>
  <c r="N23" i="34"/>
  <c r="N26" i="34" s="1"/>
  <c r="N33" i="34"/>
  <c r="N11" i="34"/>
  <c r="N12" i="34" s="1"/>
  <c r="N16" i="34" s="1"/>
  <c r="L16" i="37"/>
  <c r="L14" i="37"/>
  <c r="N34" i="37"/>
  <c r="N29" i="37"/>
  <c r="N31" i="37" s="1"/>
  <c r="N33" i="37"/>
  <c r="N11" i="37"/>
  <c r="N12" i="37"/>
  <c r="L35" i="37"/>
  <c r="K36" i="37"/>
  <c r="J37" i="37"/>
  <c r="M11" i="37"/>
  <c r="M12" i="37" s="1"/>
  <c r="O25" i="37"/>
  <c r="O21" i="37"/>
  <c r="O7" i="37"/>
  <c r="O6" i="37"/>
  <c r="O9" i="37" s="1"/>
  <c r="O5" i="37"/>
  <c r="O22" i="37"/>
  <c r="O23" i="37"/>
  <c r="N24" i="37"/>
  <c r="N27" i="37" s="1"/>
  <c r="M35" i="34"/>
  <c r="S18" i="23"/>
  <c r="I13" i="35"/>
  <c r="H19" i="35"/>
  <c r="H20" i="35" s="1"/>
  <c r="E13" i="23"/>
  <c r="E18" i="23" s="1"/>
  <c r="D19" i="23"/>
  <c r="S19" i="23" s="1"/>
  <c r="F3" i="23"/>
  <c r="F8" i="23" s="1"/>
  <c r="E4" i="23"/>
  <c r="T17" i="23" s="1"/>
  <c r="E7" i="23"/>
  <c r="I38" i="35" l="1"/>
  <c r="I39" i="35" s="1"/>
  <c r="I45" i="35"/>
  <c r="I47" i="35" s="1"/>
  <c r="I31" i="35"/>
  <c r="J46" i="35" s="1"/>
  <c r="J30" i="35"/>
  <c r="I9" i="35"/>
  <c r="J37" i="35" s="1"/>
  <c r="J8" i="35"/>
  <c r="J7" i="35"/>
  <c r="N14" i="34"/>
  <c r="N34" i="34" s="1"/>
  <c r="O6" i="34"/>
  <c r="O7" i="34" s="1"/>
  <c r="O33" i="34"/>
  <c r="O11" i="34"/>
  <c r="O12" i="34" s="1"/>
  <c r="M14" i="37"/>
  <c r="M16" i="37"/>
  <c r="N16" i="37"/>
  <c r="N14" i="37"/>
  <c r="O11" i="37"/>
  <c r="O12" i="37"/>
  <c r="O24" i="37"/>
  <c r="O27" i="37" s="1"/>
  <c r="O34" i="37"/>
  <c r="O29" i="37"/>
  <c r="O31" i="37" s="1"/>
  <c r="O33" i="37"/>
  <c r="L36" i="37"/>
  <c r="M36" i="37" s="1"/>
  <c r="K37" i="37"/>
  <c r="N35" i="37"/>
  <c r="N35" i="34"/>
  <c r="T18" i="23"/>
  <c r="J13" i="35"/>
  <c r="I19" i="35"/>
  <c r="I20" i="35" s="1"/>
  <c r="E19" i="23"/>
  <c r="T19" i="23" s="1"/>
  <c r="F13" i="23"/>
  <c r="F4" i="23"/>
  <c r="U17" i="23" s="1"/>
  <c r="V17" i="23" s="1"/>
  <c r="F7" i="23"/>
  <c r="D54" i="35" l="1"/>
  <c r="D55" i="35" s="1"/>
  <c r="D57" i="35" s="1"/>
  <c r="B54" i="35"/>
  <c r="B55" i="35" s="1"/>
  <c r="B57" i="35" s="1"/>
  <c r="J38" i="35"/>
  <c r="J39" i="35" s="1"/>
  <c r="J45" i="35"/>
  <c r="J47" i="35" s="1"/>
  <c r="J31" i="35"/>
  <c r="K46" i="35" s="1"/>
  <c r="J9" i="35"/>
  <c r="K37" i="35" s="1"/>
  <c r="J19" i="35"/>
  <c r="O14" i="34"/>
  <c r="O34" i="34" s="1"/>
  <c r="O35" i="34" s="1"/>
  <c r="O16" i="34"/>
  <c r="L37" i="37"/>
  <c r="O16" i="37"/>
  <c r="O14" i="37"/>
  <c r="N36" i="37"/>
  <c r="M37" i="37"/>
  <c r="O35" i="37"/>
  <c r="J17" i="23"/>
  <c r="H17" i="23"/>
  <c r="I17" i="23"/>
  <c r="G17" i="23"/>
  <c r="K17" i="23"/>
  <c r="N17" i="23"/>
  <c r="O17" i="23"/>
  <c r="M17" i="23"/>
  <c r="L17" i="23"/>
  <c r="F18" i="23"/>
  <c r="U18" i="23" s="1"/>
  <c r="F19" i="23"/>
  <c r="U19" i="23" s="1"/>
  <c r="V19" i="23" s="1"/>
  <c r="J20" i="35" l="1"/>
  <c r="O36" i="37"/>
  <c r="O37" i="37" s="1"/>
  <c r="N37" i="37"/>
  <c r="O19" i="23"/>
  <c r="K19" i="23"/>
  <c r="N19" i="23"/>
  <c r="M19" i="23"/>
  <c r="I19" i="23"/>
  <c r="H19" i="23"/>
  <c r="G19" i="23"/>
  <c r="J19" i="23"/>
  <c r="L19" i="23"/>
  <c r="B5" i="23"/>
  <c r="K38" i="35" l="1"/>
  <c r="K39" i="35" s="1"/>
  <c r="B52" i="35" s="1"/>
  <c r="K45" i="35"/>
  <c r="K47" i="35" s="1"/>
  <c r="D52" i="35" s="1"/>
  <c r="C9" i="24"/>
  <c r="D9" i="24"/>
  <c r="B9" i="24"/>
  <c r="B14" i="23" l="1"/>
  <c r="C5" i="23"/>
  <c r="C9" i="23" s="1"/>
  <c r="C14" i="23" l="1"/>
  <c r="D5" i="23"/>
  <c r="D9" i="23" s="1"/>
  <c r="B16" i="23"/>
  <c r="C16" i="23" l="1"/>
  <c r="C20" i="23" s="1"/>
  <c r="E5" i="23"/>
  <c r="E9" i="23" s="1"/>
  <c r="D14" i="23"/>
  <c r="D16" i="23" l="1"/>
  <c r="D20" i="23" s="1"/>
  <c r="E14" i="23"/>
  <c r="F5" i="23"/>
  <c r="F9" i="23" s="1"/>
  <c r="E16" i="23" l="1"/>
  <c r="E20" i="23" s="1"/>
  <c r="F14" i="23"/>
  <c r="F16" i="23" l="1"/>
  <c r="F20" i="23" l="1"/>
  <c r="B18" i="23" l="1"/>
  <c r="Q18" i="23" s="1"/>
  <c r="V18" i="23" s="1"/>
  <c r="O18" i="23" l="1"/>
  <c r="O20" i="23" s="1"/>
  <c r="M18" i="23"/>
  <c r="M20" i="23" s="1"/>
  <c r="I18" i="23"/>
  <c r="I20" i="23" s="1"/>
  <c r="G18" i="23"/>
  <c r="G20" i="23" s="1"/>
  <c r="L18" i="23"/>
  <c r="L20" i="23" s="1"/>
  <c r="H18" i="23"/>
  <c r="H20" i="23" s="1"/>
  <c r="K18" i="23"/>
  <c r="K20" i="23" s="1"/>
  <c r="N18" i="23"/>
  <c r="N20" i="23" s="1"/>
  <c r="J18" i="23"/>
  <c r="J20" i="23" s="1"/>
  <c r="B20" i="23"/>
  <c r="B7" i="23" l="1"/>
  <c r="B9" i="23" s="1"/>
</calcChain>
</file>

<file path=xl/sharedStrings.xml><?xml version="1.0" encoding="utf-8"?>
<sst xmlns="http://schemas.openxmlformats.org/spreadsheetml/2006/main" count="283" uniqueCount="144">
  <si>
    <t>Current assets</t>
  </si>
  <si>
    <t>Total assets</t>
  </si>
  <si>
    <t>Total liabilities and equity</t>
  </si>
  <si>
    <t>Net sales</t>
  </si>
  <si>
    <t>Interest expense</t>
  </si>
  <si>
    <t>Long-term debt</t>
  </si>
  <si>
    <t>Current Liabilities</t>
  </si>
  <si>
    <t>Net income</t>
  </si>
  <si>
    <t>Accounts receivable</t>
  </si>
  <si>
    <t>Accounts payable</t>
  </si>
  <si>
    <t>Total liabilities</t>
  </si>
  <si>
    <t>COGS</t>
  </si>
  <si>
    <t>Net PP&amp;E</t>
  </si>
  <si>
    <t>Depreciation and amortization</t>
  </si>
  <si>
    <t>Income taxes</t>
  </si>
  <si>
    <t>Gross profit</t>
  </si>
  <si>
    <t>Operating profit</t>
  </si>
  <si>
    <t>Assets</t>
  </si>
  <si>
    <t>Investments and other assets</t>
  </si>
  <si>
    <t>Share price</t>
  </si>
  <si>
    <t>Operating expenses</t>
  </si>
  <si>
    <t>Cash</t>
  </si>
  <si>
    <t>Other current assets</t>
  </si>
  <si>
    <t>Income statement</t>
  </si>
  <si>
    <t>Balance sheet</t>
  </si>
  <si>
    <t>Change in net working capital</t>
  </si>
  <si>
    <t>Capital expenditure</t>
  </si>
  <si>
    <t>Total FCF</t>
  </si>
  <si>
    <t>Sales</t>
  </si>
  <si>
    <t>EPS</t>
  </si>
  <si>
    <t>Dividends</t>
  </si>
  <si>
    <t>Debt</t>
  </si>
  <si>
    <t>Market capitalization</t>
  </si>
  <si>
    <t>Equity beta</t>
  </si>
  <si>
    <t>3-month Treasury bill rate</t>
  </si>
  <si>
    <t>1-year Treasury bond rate</t>
  </si>
  <si>
    <t>10-year Treasury bond rate</t>
  </si>
  <si>
    <t>Treasury:</t>
  </si>
  <si>
    <t>A</t>
  </si>
  <si>
    <t>Market risk premium</t>
  </si>
  <si>
    <t>Aaa</t>
  </si>
  <si>
    <t>Aa</t>
  </si>
  <si>
    <t>Baa</t>
  </si>
  <si>
    <t xml:space="preserve"> </t>
  </si>
  <si>
    <t>Other non-current liabilities</t>
  </si>
  <si>
    <t>AwABTAVMT0NBTAFI/////wFQIQAAABxDSVEuTkFTREFRR1M6U1AuSVFfTUFSS0VUQ0FQAQAAAN3VAQACAAAACjQ5My4zODU0ODgBBgAAAAUAAAABMQEAAAAKMTY3NjQ5NzIwNAMAAAADMTYwAgAAAAYxMDAwNTQEAAAAATAHAAAACDYvOS8yMDE0FGrgrsBS0QiG9vGuwFLRCCJDSVEuTllTRTpBUk1LLklRX1RPVEFMX1JFVi5GWSAyMDEzAQAAAEpSDwACAAAACTEzOTQ1LjY1NwEIAAAABQAAAAExAQAAAAoxNjgwNTI2MTc0AwAAAAMxNjACAAAAAjI4BAAAAAEwBwAAAAk2LzEwLzIwMTQIAAAACTkvMjcvMjAxMwkAAAABMBRq4K7AUtEIp0TyrsBS0QgdQ0lRLk5ZU0U6RU1FLklRX0xBU1RTQUxFUFJJQ0UBAAAAbm0AAAIAAAAFNDcuMDQAFGrgrsBS0QiG9vGuwFLRCCVDSVEuTllTRTpBUk1LLklRX1RPVEFMX0FTU0VUUy5GWSAyMDEzAQAAAEpSDwACAAAACTEwMjY3LjEwNgEIAAAABQAAAAExAQAAAAoxNjgwNTI2MTc0AwAAAAMxNjACAAAABDEwMDcEAAAAATAHAAAACTYvMTAvMjAxNAgAAAAJOS8yNy8yMDEzCQAAAAEwFGrgrsBS0QiG9vGuwFLRCCNDSVEuTkFTREFRR1M6U1AuSVFfRVBTX05PUk0uRlkgMjAxMwEAAADd1QEAAgAAAAgwLjkwODQ1NAEIAAAABQAAAAExAQAAAAoxNjYzMDk1MTk2AwAAAAMxNjACAAAABDQzNzkEAAAAATAHAAAACTYvMTAvMjAxNAgAAAAKMTIvMzEvMjAxMwkAAAABMBRq4K7AUtEIp0T</t>
  </si>
  <si>
    <t>yrsBS0QgiQ0lRLk5ZU0U6QVJNSy5JUV9FUVVJVFlfQVAuRlkgMjAxMwEAAABKUg8AAgAAAAUyLjE5NAELAAAABQAAAAIxMwEAAAAHNTA1NzQxNgMAAAAFNDE3ODQEAAAABTQxNTQyAgAAAAczMDA5NzI2BgAAAAc1MDExMDUzBwAAAAEwCAAAAAMxNjAJAAAABTQxNTQyCgAAAAEwCwAAAAI0NhRq4K7AUtEIlx3yrsBS0QgdQ0lRLk5BU0RBUUdTOlNQLklRX05JLkZZIDIwMTMBAAAA3dUBAAIAAAAGMTIuMDg5AQgAAAAFAAAAATEBAAAACjE2NjMwOTUxOTYDAAAAAzE2MAIAAAACMTUEAAAAATAHAAAACTYvMTAvMjAxNAgAAAAKMTIvMzEvMjAxMwkAAAABMBRq4K7AUtEIp0TyrsBS0QgaQ0lRLk5ZU0U6QVJNSy5JUV9NQVJLRVRDQVABAAAASlIPAAIAAAALNjE5NS42NjYzNzEBBgAAAAUAAAABMQEAAAAKMTY4MTQ5NzkxMwMAAAADMTYwAgAAAAYxMDAwNTQEAAAAATAHAAAACDYvOS8yMDE0FGrgrsBS0QiXHfKuwFLRCBtDSVEuTllTRTpBUk1LLklRX05JLkZZIDIwMTMBAAAASlIPAAIAAAAGNjkuMzU2AQgAAAAFAAAAATEBAAAACjE2ODA1MjYxNzQDAAAAAzE2MAIAAAACMTUEAAAAATAHAAAACTYvMTAvMjAxNAgAAAAJOS8yNy8yMDEzCQAAAAEwFGrgrsBS0Qh2z/GuwFLRCCVDSVEuTkFTREFRR1M6U1AuSVFfVE9UQUxfREVCVC5GWSAyMDEzAQAAAN3VAQACAAAABzI4OC42NjYBCAAAAAUAAAABMQEAAAAKMTY2MzA5NT</t>
  </si>
  <si>
    <t>E5NgMAAAADMTYwAgAAAAQ0MTczBAAAAAEwBwAAAAk2LzEwLzIwMTQIAAAACjEyLzMxLzIwMTMJAAAAATAUauCuwFLRCKdE8q7AUtEIGUNJUS5OWVNFOkVNRS5JUV9NQVJLRVRDQVABAAAAbm0AAAIAAAAKMzIxMi4wNDI2OAEGAAAABQAAAAExAQAAAAoxNjc0MTc5MjUxAwAAAAMxNjACAAAABjEwMDA1NAQAAAABMAcAAAAINi85LzIwMTQUauCuwFLRCLhr8q7AUtEIFUNJUS5OWVNFOkVNRS4uRlkgMjAxMwUAAAABAAAACAAAABYoSW52YWxpZCBGb3JtdWxhIE5hbWUpda6QusBS0QhpuJ66wFLRCA5DSVEuTllTRTpBUk1LLgUAAAABAAAACAAAABYoSW52YWxpZCBGb3JtdWxhIE5hbWUpda6QusBS0QhpuJ66wFLRCBtDSVEuTllTRTpFTUUuSVFfQ1VTVE9NX0JFVEEBAAAAbm0AAAIAAAARMC45NDczOTIzMTkyMzM2NzEAFGrgrsBS0QinRPKuwFLRCCdDSVEuTkFTREFRR1M6U1AuSVFfVE9UQUxfQVNTRVRTLkZZIDIwMTMBAAAA3dUBAAIAAAAHODYyLjM3NQEIAAAABQAAAAExAQAAAAoxNjYzMDk1MTk2AwAAAAMxNjACAAAABDEwMDcEAAAAATAHAAAACTYvMTAvMjAxNAgAAAAKMTIvMzEvMjAxMwkAAAABMBRq4K7AUtEIhvbxrsBS0QggQ0lRLk5BU0RBUUdTOlNQLklRX0xBU1RTQUxFUFJJQ0UBAAAA3dUBAAIAAAAGMjIuMzI2ABRq4K7AUtEIlx3yrsBS0QgYQ0lRLk5BU0RBUUdTOlNQLi5GWSAyMDEzBQAAAAEAAAAIA</t>
  </si>
  <si>
    <t>AAAFihJbnZhbGlkIEZvcm11bGEgTmFtZSl1rpC6wFLRCHrfnrrAUtEIIENJUS5OWVNFOkVNRS5JUV9FUFNfTk9STS5GWSAyMDEzAQAAAG5tAAACAAAACDEuOTEzMTU4AQgAAAAFAAAAATEBAAAACjE2NjAyMzE0MzgDAAAAAzE2MAIAAAAENDM3OQQAAAABMAcAAAAJNi8xMC8yMDE0CAAAAAoxMi8zMS8yMDEzCQAAAAEwFGrgrsBS0Qh2z/GuwFLRCCFDSVEuTllTRTpFTUUuSVFfRVFVSVRZX0FQLkZZIDIwMTMBAAAAbm0AAAIAAAAFMC42NzYBCwAAAAUAAAACMTMBAAAABzQ5MTI1MTADAAAABTQxNjkzBAAAAAU0MTYzNwIAAAAHMzAwOTcyNgYAAAAGNDI0MTYwBwAAAAEwCAAAAAMxNjAJAAAABTQxNjM3CgAAAAEwCwAAAAI0NhRq4K7AUtEIlx3yrsBS0QgkQ0lRLk5BU0RBUUdTOlNQLklRX1RPVEFMX1JFVi5GWSAyMDEzAQAAAN3VAQACAAAABzgzNi45MjEBCAAAAAUAAAABMQEAAAAKMTY2MzA5NTE5NgMAAAADMTYwAgAAAAIyOAQAAAABMAcAAAAJNi8xMC8yMDE0CAAAAAoxMi8zMS8yMDEzCQAAAAEwFGrgrsBS0QiG9vGuwFLRCBpDSVEuTllTRTpFTUUuSVFfTkkuRlkgMjAxMwEAAABubQAAAgAAAAcxMjMuNzkyAQgAAAAFAAAAATEBAAAACjE2NjAyMzE0MzgDAAAAAzE2MAIAAAACMTUEAAAAATAHAAAACTYvMTAvMjAxNAgAAAAKMTIvMzEvMjAxMwkAAAABMBRq4K7AUtEIlx3yrsBS0QgeQ0lRLk5ZU0U6QVJNSy5J</t>
  </si>
  <si>
    <t>UV9MQVNUU0FMRVBSSUNFAQAAAEpSDwACAAAABTI2LjU2ABRq4K7AUtEIuGvyrsBS0QgeQ0lRLk5BU0RBUUdTOlNQLklRX0NVU1RPTV9CRVRBAQAAAN3VAQACAAAAEDEuMTA3NTkwNTE2NTM2NDkAFGrgrsBS0Qi4a/KuwFLRCCNDSVEuTllTRTpBUk1LLklRX1RPVEFMX0RFQlQuRlkgMjAxMwEAAABKUg8AAgAAAAg1ODg2Ljk0MgEIAAAABQAAAAExAQAAAAoxNjgwNTI2MTc0AwAAAAMxNjACAAAABDQxNzMEAAAAATAHAAAACTYvMTAvMjAxNAgAAAAJOS8yNy8yMDEzCQAAAAEwFGrgrsBS0QinRPKuwFLRCBZDSVEuTllTRTpBUk1LLi5GWSAyMDEzBQAAAAEAAAAIAAAAFihJbnZhbGlkIEZvcm11bGEgTmFtZSl1rpC6wFLRCHrfnrrAUtEIIUNJUS5OWVNFOkFSTUsuSVFfRVBTX05PUk0uRlkgMjAxMwEAAABKUg8AAgAAAAgwLjM5NzQ3NgEIAAAABQAAAAExAQAAAAoxNjgwNTI2MTc0AwAAAAMxNjACAAAABDQzNzkEAAAAATAHAAAACTYvMTAvMjAxNAgAAAAJOS8yNy8yMDEzCQAAAAEwFGrgrsBS0QiG9vGuwFLRCCFDSVEuTllTRTpFTUUuSVFfVE9UQUxfUkVWLkZZIDIwMTMBAAAAbm0AAAIAAAAINjQxNy4xNTgBCAAAAAUAAAABMQEAAAAKMTY2MDIzMTQzOAMAAAADMTYwAgAAAAIyOAQAAAABMAcAAAAJNi8xMC8yMDE0CAAAAAoxMi8zMS8yMDEzCQAAAAEwFGrgrsBS0Qi4a/KuwFLRCBxDSVEuTllTRTpBUk1LLklRX0N</t>
  </si>
  <si>
    <t>VU1RPTV9CRVRBAQAAAEpSDwACAAAAEDEuOTkxOTc2NDI3Mzc4NjMAFGrgrsBS0QiXHfKuwFLRCCJDSVEuTllTRTpFTUUuSVFfVE9UQUxfREVCVC5GWSAyMDEzAQAAAG5tAAACAAAABzM1NC42NjMBCAAAAAUAAAABMQEAAAAKMTY2MDIzMTQzOAMAAAADMTYwAgAAAAQ0MTczBAAAAAEwBwAAAAk2LzEwLzIwMTQIAAAACjEyLzMxLzIwMTMJAAAAATAUauCuwFLRCIb28a7AUtEIEENJUS5OQVNEQVFHUzpTUC4FAAAAAQAAAAgAAAAWKEludmFsaWQgRm9ybXVsYSBOYW1lKXWukLrAUtEIiwafusBS0QgkQ0lRLk5ZU0U6RU1FLklRX1RPVEFMX0FTU0VUUy5GWSAyMDEzAQAAAG5tAAACAAAACDM0NjUuOTE1AQgAAAAFAAAAATEBAAAACjE2NjAyMzE0MzgDAAAAAzE2MAIAAAAEMTAwNwQAAAABMAcAAAAJNi8xMC8yMDE0CAAAAAoxMi8zMS8yMDEzCQAAAAEwFGrgrsBS0QinRPKuwFLRCCRDSVEuTkFTREFRR1M6U1AuSVFfRVFVSVRZX0FQLkZZIDIwMTMBAAAA3dUBAAIAAAAFMC4wMjIBCwAAAAUAAAACMTMBAAAABzQ5MzYzNTYDAAAABTQxNzA5BAAAAAU0MTYzNwIAAAAHMzAwOTcyNgYAAAAHMjE1MDMyMQcAAAABMAgAAAADMTYwCQAAAAU0MTYzNwoAAAABMAsAAAACNDYUauCuwFLRCHbP8a7AUtEIDUNJUS5OWVNFOkVNRS4FAAAAAQAAAAgAAAAWKEludmFsaWQgRm9ybXVsYSBOYW1lKXWukLrAUtEIet+eusBS0Qg=</t>
  </si>
  <si>
    <t>Number of shares outstanding</t>
  </si>
  <si>
    <t>Comparable Company 1</t>
  </si>
  <si>
    <t>Comparable Company 2</t>
  </si>
  <si>
    <t>Comparable Company 3</t>
  </si>
  <si>
    <t>Dividend</t>
  </si>
  <si>
    <t>Corporate bond yield:</t>
  </si>
  <si>
    <t>Shareholders' equity</t>
  </si>
  <si>
    <t>2014 [E]</t>
  </si>
  <si>
    <t>Accrued expenses and deferred taxes</t>
  </si>
  <si>
    <r>
      <t>Interest expense</t>
    </r>
    <r>
      <rPr>
        <vertAlign val="superscript"/>
        <sz val="9"/>
        <rFont val="Times New Roman"/>
        <family val="1"/>
      </rPr>
      <t>a</t>
    </r>
  </si>
  <si>
    <r>
      <t>Long-term debt, current portion</t>
    </r>
    <r>
      <rPr>
        <vertAlign val="superscript"/>
        <sz val="9"/>
        <rFont val="Times New Roman"/>
        <family val="1"/>
      </rPr>
      <t>b</t>
    </r>
  </si>
  <si>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Interest rate on long-term debt outstanding is at 4.5% per year.</t>
    </r>
  </si>
  <si>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Principal amount of long-term debt is amortized at $0.4m per year.</t>
    </r>
  </si>
  <si>
    <t>Exhibit 5 Selected Capital Markets Information as of September 1, 2014</t>
  </si>
  <si>
    <t>Exhibit 4 Financial Data of Publically Traded Competitors, 2014 (U.S. $ millions)</t>
  </si>
  <si>
    <t>Exhibit 3a Five-year Forecast of Landmark's Income and Cash Flow, 2015-2019 (U.S. $ millions)*</t>
  </si>
  <si>
    <t>Exhibit 3b Five-year Forecast of Broadway's Income and Cash Flow, 2015-2019 (U.S. $ millions)*</t>
  </si>
  <si>
    <t>*Numbers in the exhibits are based on the assumption Broadway does not acquire Landmark.</t>
  </si>
  <si>
    <t>Exhibit 1 Landmark's Simplified Financial Statements, 2010-2014 (U.S. $ millions)</t>
  </si>
  <si>
    <t>Exhibit 2 Broadway's Simplified Financial Statements, 2010-2014 (U.S. $ millions)</t>
  </si>
  <si>
    <t xml:space="preserve">employees </t>
  </si>
  <si>
    <t>total sq ft service</t>
  </si>
  <si>
    <t>300 mill</t>
  </si>
  <si>
    <t>regional offices</t>
  </si>
  <si>
    <t>operating margin in 2014 less than</t>
  </si>
  <si>
    <t xml:space="preserve">operating expenses increased </t>
  </si>
  <si>
    <t>Cash balance decrease to</t>
  </si>
  <si>
    <t>Harris wants to increase L.M's O.M. to</t>
  </si>
  <si>
    <t>regardless of acq, Rev growth 2014 to 2019</t>
  </si>
  <si>
    <t xml:space="preserve">broadway could increase O.P. marg to </t>
  </si>
  <si>
    <t>14-19</t>
  </si>
  <si>
    <t>thereafter</t>
  </si>
  <si>
    <t>net W.C. (noncash percent of sales)</t>
  </si>
  <si>
    <t>Cap expend remain 1% of annual sales</t>
  </si>
  <si>
    <t>regardless of acq, Deprec increase 300,000 per year</t>
  </si>
  <si>
    <t>Cash Flows expected to grow at 4% annual after 2019 (exhibit 3)</t>
  </si>
  <si>
    <t>rev growth</t>
  </si>
  <si>
    <t>Thereafter</t>
  </si>
  <si>
    <t>Gross Margin</t>
  </si>
  <si>
    <t>operating exp remain constant of 2% of sales</t>
  </si>
  <si>
    <t>Cap. Expend decrease to 2.1% of annual sales</t>
  </si>
  <si>
    <t>Deprc grow by 200,000 per year</t>
  </si>
  <si>
    <t>corp tax rate remain 35%</t>
  </si>
  <si>
    <t>Corp Tax rate remain 35%</t>
  </si>
  <si>
    <t>Sensitiviy Analysis</t>
  </si>
  <si>
    <t>Pessimistic:</t>
  </si>
  <si>
    <t>N.W. Cap. Percet of sales</t>
  </si>
  <si>
    <t>therafter</t>
  </si>
  <si>
    <t>O.P. Marg would reach a steady state of 2.5% by 2017 and thereafter</t>
  </si>
  <si>
    <t>Rev</t>
  </si>
  <si>
    <t>O.P. expens percent of sales 2.5% annual</t>
  </si>
  <si>
    <t>everything else be held constant</t>
  </si>
  <si>
    <t>Finance Options</t>
  </si>
  <si>
    <t>120 mill loan</t>
  </si>
  <si>
    <t>5.5% annual interest rate</t>
  </si>
  <si>
    <t>matures at the end of 2023</t>
  </si>
  <si>
    <t>amortized at the rate of 5 million a year, for six years, starting in 2017</t>
  </si>
  <si>
    <t>final payment of 90mill made at maturity (2023)</t>
  </si>
  <si>
    <t>collateralized by all assets of both firms</t>
  </si>
  <si>
    <t>MIX</t>
  </si>
  <si>
    <t>100% Debt Financing</t>
  </si>
  <si>
    <t>investors provide 60 mill each in loans and equity</t>
  </si>
  <si>
    <t>loan carrys 5% interest rate</t>
  </si>
  <si>
    <t>matures at 2020</t>
  </si>
  <si>
    <t>laon principal of 60 mill due on maturity (2020)</t>
  </si>
  <si>
    <t>equity investment provided in exchange for 40% equity ownership in combined firm</t>
  </si>
  <si>
    <t>New equity holders do not receive dividends until debt principal is paid in full</t>
  </si>
  <si>
    <t>N.W.C. chng</t>
  </si>
  <si>
    <t>Average</t>
  </si>
  <si>
    <t># of Outstanding Shares</t>
  </si>
  <si>
    <t>Retained Earnings</t>
  </si>
  <si>
    <t># of Outstanding shares</t>
  </si>
  <si>
    <t>AVG</t>
  </si>
  <si>
    <t>Bank burrowings</t>
  </si>
  <si>
    <t xml:space="preserve">Non cash net </t>
  </si>
  <si>
    <t>2019~</t>
  </si>
  <si>
    <t>Non cash Net working Capital</t>
  </si>
  <si>
    <t>Initial Outlay</t>
  </si>
  <si>
    <t>Recovered Net Working Capital</t>
  </si>
  <si>
    <t>FCF from Landmark</t>
  </si>
  <si>
    <t>FCF from Broadway</t>
  </si>
  <si>
    <t>Net FCF</t>
  </si>
  <si>
    <t>NPV</t>
  </si>
  <si>
    <t>Discount Rate</t>
  </si>
  <si>
    <t>Less: Debt</t>
  </si>
  <si>
    <t>Estimated Value of Firm</t>
  </si>
  <si>
    <t>Shares Outstanding</t>
  </si>
  <si>
    <t>Price Per Share</t>
  </si>
  <si>
    <t>Debt Financing</t>
  </si>
  <si>
    <t>Mix of Debt &amp; Equity Financing</t>
  </si>
  <si>
    <t>Total Current Assets</t>
  </si>
  <si>
    <t>Exhibit 3b Five-year Forecast of Broadway's Income and Cash Flow, 2015-2023 (U.S. $ millions)*</t>
  </si>
  <si>
    <t>Exhibit 3a Five-year Forecast of Landmark's Income and Cash Flow, 2015-2023 (U.S. $ millions)*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</si>
</sst>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00"/>
    <numFmt numFmtId="166" formatCode="0.0%_);\(0.0%\);&quot;–&quot;_)"/>
    <numFmt numFmtId="167" formatCode="_(* #,##0.0_);_(* \(#,##0.0\)_)\ ;_(* 0_)"/>
    <numFmt numFmtId="168" formatCode="#,##0.0;\-#,##0.0"/>
    <numFmt numFmtId="169" formatCode="&quot;$&quot;#,##0.00"/>
    <numFmt numFmtId="170" formatCode="#,##0.0"/>
    <numFmt numFmtId="171" formatCode="_-* #,##0.0_-;\-* #,##0.0_-;_-* &quot;-&quot;??_-;_-@_-"/>
    <numFmt numFmtId="172" formatCode="0.0"/>
    <numFmt numFmtId="173" formatCode="&quot;$&quot;#,##0.0"/>
    <numFmt numFmtId="174" formatCode="#,##0.000;\-#,##0.000"/>
    <numFmt numFmtId="175" formatCode="#,##0.000"/>
    <numFmt numFmtId="176" formatCode="0.0\x_);\(0.0\x\);&quot;–&quot;_)"/>
    <numFmt numFmtId="177" formatCode="0.0%"/>
    <numFmt numFmtId="178" formatCode="0.000"/>
    <numFmt numFmtId="179" formatCode="_([$$-409]* #,##0.00_);_([$$-409]* \(#,##0.00\);_([$$-409]* &quot;-&quot;??_);_(@_)"/>
  </numFmts>
  <fonts count="40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color theme="1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/>
      <sz val="9"/>
      <color indexed="8"/>
      <name val="Times New Roman"/>
      <family val="1"/>
    </font>
    <font>
      <sz val="9"/>
      <color theme="0" tint="-0.34998626667073579"/>
      <name val="Times New Roman"/>
      <family val="1"/>
    </font>
    <font>
      <b/>
      <i/>
      <sz val="9"/>
      <color theme="1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"/>
    </font>
    <font>
      <sz val="9"/>
      <color theme="1"/>
      <name val="times"/>
    </font>
    <font>
      <sz val="9"/>
      <color indexed="8"/>
      <name val="times"/>
    </font>
    <font>
      <b/>
      <u/>
      <sz val="11"/>
      <color theme="1"/>
      <name val="Calibri"/>
      <family val="2"/>
      <scheme val="minor"/>
    </font>
    <font>
      <b/>
      <sz val="9"/>
      <color theme="0"/>
      <name val="Times New Roman"/>
      <family val="1"/>
    </font>
    <font>
      <b/>
      <sz val="11"/>
      <color theme="0"/>
      <name val="Calibri"/>
      <family val="2"/>
      <scheme val="minor"/>
    </font>
    <font>
      <sz val="9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 applyAlignment="0"/>
    <xf numFmtId="0" fontId="5" fillId="0" borderId="0" applyAlignment="0"/>
    <xf numFmtId="0" fontId="6" fillId="2" borderId="0" applyAlignment="0"/>
    <xf numFmtId="0" fontId="7" fillId="3" borderId="0" applyAlignment="0"/>
    <xf numFmtId="0" fontId="8" fillId="4" borderId="0" applyAlignment="0"/>
    <xf numFmtId="0" fontId="9" fillId="5" borderId="0" applyAlignment="0"/>
    <xf numFmtId="0" fontId="10" fillId="0" borderId="0" applyAlignment="0"/>
    <xf numFmtId="0" fontId="11" fillId="0" borderId="0" applyAlignment="0"/>
    <xf numFmtId="0" fontId="12" fillId="0" borderId="0" applyAlignment="0"/>
    <xf numFmtId="0" fontId="13" fillId="0" borderId="0" applyAlignment="0"/>
    <xf numFmtId="0" fontId="14" fillId="0" borderId="0" applyAlignment="0"/>
    <xf numFmtId="0" fontId="13" fillId="0" borderId="0" applyAlignment="0">
      <alignment wrapText="1"/>
    </xf>
    <xf numFmtId="0" fontId="15" fillId="0" borderId="0" applyAlignment="0"/>
    <xf numFmtId="0" fontId="16" fillId="0" borderId="0" applyAlignment="0"/>
    <xf numFmtId="0" fontId="17" fillId="0" borderId="0" applyAlignment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Border="1"/>
    <xf numFmtId="3" fontId="18" fillId="0" borderId="0" xfId="0" applyNumberFormat="1" applyFont="1" applyFill="1"/>
    <xf numFmtId="165" fontId="2" fillId="0" borderId="0" xfId="0" applyNumberFormat="1" applyFont="1" applyFill="1" applyBorder="1"/>
    <xf numFmtId="0" fontId="18" fillId="0" borderId="0" xfId="0" applyFont="1"/>
    <xf numFmtId="0" fontId="19" fillId="0" borderId="1" xfId="0" applyFont="1" applyBorder="1"/>
    <xf numFmtId="0" fontId="18" fillId="0" borderId="1" xfId="0" applyFont="1" applyBorder="1"/>
    <xf numFmtId="0" fontId="18" fillId="0" borderId="0" xfId="0" applyFont="1" applyFill="1" applyBorder="1"/>
    <xf numFmtId="0" fontId="18" fillId="0" borderId="0" xfId="0" applyFont="1" applyFill="1"/>
    <xf numFmtId="0" fontId="18" fillId="0" borderId="1" xfId="0" applyFont="1" applyFill="1" applyBorder="1"/>
    <xf numFmtId="0" fontId="18" fillId="0" borderId="0" xfId="0" applyFont="1" applyBorder="1"/>
    <xf numFmtId="4" fontId="18" fillId="0" borderId="0" xfId="0" applyNumberFormat="1" applyFont="1" applyFill="1" applyBorder="1"/>
    <xf numFmtId="0" fontId="18" fillId="0" borderId="3" xfId="0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Border="1"/>
    <xf numFmtId="0" fontId="2" fillId="0" borderId="3" xfId="0" applyFont="1" applyBorder="1"/>
    <xf numFmtId="168" fontId="18" fillId="0" borderId="0" xfId="0" applyNumberFormat="1" applyFont="1" applyFill="1" applyBorder="1"/>
    <xf numFmtId="169" fontId="18" fillId="0" borderId="0" xfId="0" applyNumberFormat="1" applyFont="1" applyFill="1" applyBorder="1"/>
    <xf numFmtId="168" fontId="18" fillId="0" borderId="1" xfId="0" applyNumberFormat="1" applyFont="1" applyFill="1" applyBorder="1"/>
    <xf numFmtId="168" fontId="18" fillId="0" borderId="0" xfId="0" applyNumberFormat="1" applyFont="1" applyFill="1"/>
    <xf numFmtId="170" fontId="18" fillId="0" borderId="0" xfId="0" applyNumberFormat="1" applyFont="1" applyFill="1" applyBorder="1"/>
    <xf numFmtId="170" fontId="18" fillId="0" borderId="1" xfId="0" applyNumberFormat="1" applyFont="1" applyFill="1" applyBorder="1"/>
    <xf numFmtId="170" fontId="18" fillId="0" borderId="0" xfId="0" applyNumberFormat="1" applyFont="1" applyFill="1"/>
    <xf numFmtId="0" fontId="18" fillId="0" borderId="2" xfId="0" applyFont="1" applyBorder="1"/>
    <xf numFmtId="170" fontId="18" fillId="0" borderId="2" xfId="0" applyNumberFormat="1" applyFont="1" applyFill="1" applyBorder="1"/>
    <xf numFmtId="170" fontId="18" fillId="0" borderId="3" xfId="0" applyNumberFormat="1" applyFont="1" applyFill="1" applyBorder="1"/>
    <xf numFmtId="167" fontId="25" fillId="0" borderId="0" xfId="0" applyNumberFormat="1" applyFont="1" applyAlignment="1">
      <alignment horizontal="right" vertical="top" wrapText="1"/>
    </xf>
    <xf numFmtId="164" fontId="2" fillId="0" borderId="0" xfId="0" applyNumberFormat="1" applyFont="1" applyBorder="1"/>
    <xf numFmtId="0" fontId="2" fillId="0" borderId="0" xfId="0" applyFont="1" applyFill="1" applyBorder="1"/>
    <xf numFmtId="167" fontId="27" fillId="0" borderId="0" xfId="0" applyNumberFormat="1" applyFont="1" applyBorder="1" applyAlignment="1">
      <alignment horizontal="right" vertical="top" wrapText="1"/>
    </xf>
    <xf numFmtId="174" fontId="18" fillId="0" borderId="0" xfId="0" applyNumberFormat="1" applyFont="1" applyFill="1" applyBorder="1"/>
    <xf numFmtId="0" fontId="29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9" fillId="0" borderId="1" xfId="0" applyFont="1" applyFill="1" applyBorder="1" applyAlignment="1">
      <alignment horizontal="center"/>
    </xf>
    <xf numFmtId="172" fontId="2" fillId="0" borderId="0" xfId="0" applyNumberFormat="1" applyFont="1" applyFill="1"/>
    <xf numFmtId="168" fontId="2" fillId="0" borderId="3" xfId="0" applyNumberFormat="1" applyFont="1" applyFill="1" applyBorder="1"/>
    <xf numFmtId="175" fontId="18" fillId="0" borderId="0" xfId="0" applyNumberFormat="1" applyFont="1" applyFill="1"/>
    <xf numFmtId="10" fontId="2" fillId="0" borderId="0" xfId="0" applyNumberFormat="1" applyFont="1" applyFill="1" applyBorder="1"/>
    <xf numFmtId="166" fontId="20" fillId="0" borderId="0" xfId="0" applyNumberFormat="1" applyFont="1" applyFill="1"/>
    <xf numFmtId="0" fontId="1" fillId="0" borderId="1" xfId="0" applyFont="1" applyFill="1" applyBorder="1"/>
    <xf numFmtId="166" fontId="31" fillId="0" borderId="0" xfId="0" applyNumberFormat="1" applyFont="1" applyFill="1" applyBorder="1"/>
    <xf numFmtId="0" fontId="29" fillId="0" borderId="2" xfId="0" applyFont="1" applyFill="1" applyBorder="1"/>
    <xf numFmtId="0" fontId="2" fillId="0" borderId="2" xfId="0" applyFont="1" applyFill="1" applyBorder="1"/>
    <xf numFmtId="10" fontId="2" fillId="0" borderId="0" xfId="0" applyNumberFormat="1" applyFont="1" applyFill="1"/>
    <xf numFmtId="0" fontId="29" fillId="0" borderId="0" xfId="0" applyFont="1" applyFill="1"/>
    <xf numFmtId="0" fontId="29" fillId="0" borderId="1" xfId="0" applyFont="1" applyFill="1" applyBorder="1"/>
    <xf numFmtId="10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/>
    <xf numFmtId="164" fontId="28" fillId="0" borderId="0" xfId="17" applyFont="1" applyFill="1"/>
    <xf numFmtId="169" fontId="2" fillId="0" borderId="0" xfId="17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0" xfId="0" applyFont="1" applyFill="1"/>
    <xf numFmtId="169" fontId="2" fillId="0" borderId="0" xfId="0" applyNumberFormat="1" applyFont="1" applyFill="1" applyAlignment="1">
      <alignment horizontal="center"/>
    </xf>
    <xf numFmtId="169" fontId="28" fillId="0" borderId="0" xfId="0" applyNumberFormat="1" applyFont="1" applyFill="1"/>
    <xf numFmtId="170" fontId="2" fillId="0" borderId="0" xfId="17" applyNumberFormat="1" applyFont="1" applyFill="1" applyAlignment="1">
      <alignment horizontal="center"/>
    </xf>
    <xf numFmtId="171" fontId="28" fillId="0" borderId="0" xfId="17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2" fontId="28" fillId="0" borderId="0" xfId="0" applyNumberFormat="1" applyFont="1" applyFill="1" applyBorder="1"/>
    <xf numFmtId="171" fontId="2" fillId="0" borderId="0" xfId="17" applyNumberFormat="1" applyFont="1" applyFill="1" applyAlignment="1">
      <alignment horizontal="center"/>
    </xf>
    <xf numFmtId="176" fontId="2" fillId="0" borderId="0" xfId="17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71" fontId="2" fillId="0" borderId="0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/>
    <xf numFmtId="3" fontId="2" fillId="0" borderId="0" xfId="0" applyNumberFormat="1" applyFont="1"/>
    <xf numFmtId="9" fontId="2" fillId="0" borderId="0" xfId="0" applyNumberFormat="1" applyFont="1" applyFill="1"/>
    <xf numFmtId="10" fontId="2" fillId="0" borderId="0" xfId="0" applyNumberFormat="1" applyFont="1"/>
    <xf numFmtId="0" fontId="1" fillId="0" borderId="0" xfId="0" applyFont="1"/>
    <xf numFmtId="177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0" fillId="0" borderId="0" xfId="0" applyNumberFormat="1"/>
    <xf numFmtId="172" fontId="2" fillId="0" borderId="0" xfId="0" applyNumberFormat="1" applyFont="1" applyBorder="1"/>
    <xf numFmtId="172" fontId="2" fillId="0" borderId="2" xfId="0" applyNumberFormat="1" applyFont="1" applyBorder="1"/>
    <xf numFmtId="172" fontId="18" fillId="0" borderId="0" xfId="0" applyNumberFormat="1" applyFont="1" applyFill="1" applyBorder="1"/>
    <xf numFmtId="172" fontId="18" fillId="0" borderId="0" xfId="0" applyNumberFormat="1" applyFont="1" applyFill="1"/>
    <xf numFmtId="172" fontId="2" fillId="0" borderId="1" xfId="0" applyNumberFormat="1" applyFont="1" applyBorder="1"/>
    <xf numFmtId="0" fontId="2" fillId="0" borderId="2" xfId="0" applyFont="1" applyBorder="1"/>
    <xf numFmtId="0" fontId="2" fillId="7" borderId="0" xfId="0" applyFont="1" applyFill="1"/>
    <xf numFmtId="172" fontId="18" fillId="6" borderId="1" xfId="0" applyNumberFormat="1" applyFont="1" applyFill="1" applyBorder="1"/>
    <xf numFmtId="172" fontId="2" fillId="7" borderId="0" xfId="0" applyNumberFormat="1" applyFont="1" applyFill="1" applyBorder="1"/>
    <xf numFmtId="172" fontId="2" fillId="0" borderId="0" xfId="0" applyNumberFormat="1" applyFont="1"/>
    <xf numFmtId="172" fontId="2" fillId="7" borderId="0" xfId="0" applyNumberFormat="1" applyFont="1" applyFill="1"/>
    <xf numFmtId="172" fontId="2" fillId="0" borderId="0" xfId="18" applyNumberFormat="1" applyFont="1"/>
    <xf numFmtId="0" fontId="2" fillId="0" borderId="0" xfId="0" applyFont="1" applyAlignment="1">
      <alignment horizontal="center"/>
    </xf>
    <xf numFmtId="9" fontId="1" fillId="0" borderId="0" xfId="18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1" fillId="0" borderId="6" xfId="18" applyFont="1" applyBorder="1" applyAlignment="1">
      <alignment horizontal="center"/>
    </xf>
    <xf numFmtId="9" fontId="1" fillId="0" borderId="7" xfId="18" applyFont="1" applyBorder="1" applyAlignment="1">
      <alignment horizontal="center"/>
    </xf>
    <xf numFmtId="10" fontId="26" fillId="0" borderId="6" xfId="18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0" xfId="18" applyFont="1" applyBorder="1" applyAlignment="1">
      <alignment horizontal="center"/>
    </xf>
    <xf numFmtId="10" fontId="2" fillId="0" borderId="0" xfId="18" applyNumberFormat="1" applyFont="1" applyAlignment="1">
      <alignment horizontal="center"/>
    </xf>
    <xf numFmtId="0" fontId="2" fillId="8" borderId="0" xfId="0" applyFont="1" applyFill="1"/>
    <xf numFmtId="0" fontId="2" fillId="6" borderId="0" xfId="0" applyFont="1" applyFill="1"/>
    <xf numFmtId="0" fontId="1" fillId="0" borderId="0" xfId="0" applyFont="1" applyBorder="1"/>
    <xf numFmtId="169" fontId="2" fillId="0" borderId="0" xfId="0" applyNumberFormat="1" applyFont="1" applyBorder="1"/>
    <xf numFmtId="169" fontId="2" fillId="0" borderId="2" xfId="0" applyNumberFormat="1" applyFont="1" applyBorder="1"/>
    <xf numFmtId="168" fontId="18" fillId="0" borderId="2" xfId="0" applyNumberFormat="1" applyFont="1" applyFill="1" applyBorder="1"/>
    <xf numFmtId="170" fontId="2" fillId="0" borderId="0" xfId="0" applyNumberFormat="1" applyFont="1" applyFill="1" applyBorder="1"/>
    <xf numFmtId="179" fontId="2" fillId="0" borderId="0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34" fillId="0" borderId="0" xfId="18" applyFont="1" applyBorder="1" applyAlignment="1">
      <alignment horizontal="center"/>
    </xf>
    <xf numFmtId="9" fontId="33" fillId="0" borderId="6" xfId="18" applyFont="1" applyBorder="1" applyAlignment="1">
      <alignment horizontal="center"/>
    </xf>
    <xf numFmtId="177" fontId="35" fillId="0" borderId="0" xfId="18" applyNumberFormat="1" applyFont="1" applyBorder="1" applyAlignment="1">
      <alignment horizontal="center" vertical="top" wrapText="1"/>
    </xf>
    <xf numFmtId="177" fontId="33" fillId="0" borderId="6" xfId="18" applyNumberFormat="1" applyFont="1" applyFill="1" applyBorder="1" applyAlignment="1">
      <alignment horizontal="center"/>
    </xf>
    <xf numFmtId="177" fontId="35" fillId="0" borderId="11" xfId="18" applyNumberFormat="1" applyFont="1" applyBorder="1" applyAlignment="1">
      <alignment horizontal="center" vertical="top" wrapText="1"/>
    </xf>
    <xf numFmtId="177" fontId="35" fillId="0" borderId="12" xfId="18" applyNumberFormat="1" applyFont="1" applyBorder="1" applyAlignment="1">
      <alignment horizontal="center" vertical="top" wrapText="1"/>
    </xf>
    <xf numFmtId="177" fontId="35" fillId="0" borderId="13" xfId="18" applyNumberFormat="1" applyFont="1" applyBorder="1" applyAlignment="1">
      <alignment horizontal="center" vertical="top" wrapText="1"/>
    </xf>
    <xf numFmtId="177" fontId="35" fillId="0" borderId="14" xfId="18" applyNumberFormat="1" applyFont="1" applyBorder="1" applyAlignment="1">
      <alignment horizontal="center" vertical="top" wrapText="1"/>
    </xf>
    <xf numFmtId="177" fontId="35" fillId="0" borderId="15" xfId="18" applyNumberFormat="1" applyFont="1" applyBorder="1" applyAlignment="1">
      <alignment horizontal="center" vertical="top" wrapText="1"/>
    </xf>
    <xf numFmtId="9" fontId="34" fillId="0" borderId="14" xfId="18" applyFont="1" applyBorder="1" applyAlignment="1">
      <alignment horizontal="center"/>
    </xf>
    <xf numFmtId="9" fontId="34" fillId="0" borderId="15" xfId="18" applyFont="1" applyBorder="1" applyAlignment="1">
      <alignment horizontal="center"/>
    </xf>
    <xf numFmtId="9" fontId="2" fillId="0" borderId="14" xfId="18" applyFont="1" applyBorder="1" applyAlignment="1">
      <alignment horizontal="center"/>
    </xf>
    <xf numFmtId="9" fontId="2" fillId="0" borderId="15" xfId="18" applyFont="1" applyBorder="1" applyAlignment="1">
      <alignment horizontal="center"/>
    </xf>
    <xf numFmtId="9" fontId="2" fillId="0" borderId="16" xfId="18" applyFont="1" applyBorder="1" applyAlignment="1">
      <alignment horizontal="center"/>
    </xf>
    <xf numFmtId="9" fontId="2" fillId="0" borderId="17" xfId="18" applyFont="1" applyBorder="1" applyAlignment="1">
      <alignment horizontal="center"/>
    </xf>
    <xf numFmtId="9" fontId="2" fillId="0" borderId="18" xfId="18" applyFont="1" applyBorder="1" applyAlignment="1">
      <alignment horizontal="center"/>
    </xf>
    <xf numFmtId="177" fontId="33" fillId="0" borderId="5" xfId="18" applyNumberFormat="1" applyFont="1" applyFill="1" applyBorder="1" applyAlignment="1">
      <alignment horizontal="center"/>
    </xf>
    <xf numFmtId="43" fontId="2" fillId="0" borderId="0" xfId="0" applyNumberFormat="1" applyFont="1" applyBorder="1"/>
    <xf numFmtId="43" fontId="2" fillId="0" borderId="0" xfId="18" applyNumberFormat="1" applyFont="1" applyFill="1" applyBorder="1"/>
    <xf numFmtId="43" fontId="2" fillId="0" borderId="2" xfId="0" applyNumberFormat="1" applyFont="1" applyBorder="1"/>
    <xf numFmtId="43" fontId="2" fillId="0" borderId="2" xfId="18" applyNumberFormat="1" applyFont="1" applyFill="1" applyBorder="1"/>
    <xf numFmtId="172" fontId="2" fillId="0" borderId="0" xfId="18" applyNumberFormat="1" applyFont="1" applyFill="1" applyBorder="1"/>
    <xf numFmtId="170" fontId="2" fillId="0" borderId="0" xfId="0" applyNumberFormat="1" applyFont="1" applyBorder="1"/>
    <xf numFmtId="43" fontId="2" fillId="0" borderId="0" xfId="0" applyNumberFormat="1" applyFont="1" applyFill="1" applyBorder="1"/>
    <xf numFmtId="1" fontId="31" fillId="0" borderId="0" xfId="0" applyNumberFormat="1" applyFont="1" applyFill="1" applyBorder="1"/>
    <xf numFmtId="178" fontId="31" fillId="0" borderId="0" xfId="0" applyNumberFormat="1" applyFont="1" applyFill="1" applyBorder="1"/>
    <xf numFmtId="179" fontId="18" fillId="0" borderId="0" xfId="0" applyNumberFormat="1" applyFont="1" applyFill="1" applyBorder="1"/>
    <xf numFmtId="43" fontId="2" fillId="0" borderId="3" xfId="0" applyNumberFormat="1" applyFont="1" applyBorder="1"/>
    <xf numFmtId="167" fontId="25" fillId="0" borderId="0" xfId="0" applyNumberFormat="1" applyFont="1" applyBorder="1" applyAlignment="1">
      <alignment horizontal="center" vertical="top" wrapText="1"/>
    </xf>
    <xf numFmtId="177" fontId="25" fillId="0" borderId="11" xfId="18" applyNumberFormat="1" applyFont="1" applyBorder="1" applyAlignment="1">
      <alignment horizontal="center" vertical="top" wrapText="1"/>
    </xf>
    <xf numFmtId="177" fontId="25" fillId="0" borderId="12" xfId="18" applyNumberFormat="1" applyFont="1" applyBorder="1" applyAlignment="1">
      <alignment horizontal="center" vertical="top" wrapText="1"/>
    </xf>
    <xf numFmtId="177" fontId="2" fillId="0" borderId="6" xfId="18" applyNumberFormat="1" applyFont="1" applyFill="1" applyBorder="1" applyAlignment="1">
      <alignment horizontal="center"/>
    </xf>
    <xf numFmtId="177" fontId="25" fillId="0" borderId="14" xfId="18" applyNumberFormat="1" applyFont="1" applyBorder="1" applyAlignment="1">
      <alignment horizontal="center" vertical="top" wrapText="1"/>
    </xf>
    <xf numFmtId="177" fontId="25" fillId="0" borderId="0" xfId="18" applyNumberFormat="1" applyFont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 horizontal="center"/>
    </xf>
    <xf numFmtId="177" fontId="25" fillId="0" borderId="16" xfId="18" applyNumberFormat="1" applyFont="1" applyBorder="1" applyAlignment="1">
      <alignment horizontal="center" vertical="top" wrapText="1"/>
    </xf>
    <xf numFmtId="177" fontId="25" fillId="0" borderId="17" xfId="18" applyNumberFormat="1" applyFont="1" applyBorder="1" applyAlignment="1">
      <alignment horizontal="center" vertical="top" wrapText="1"/>
    </xf>
    <xf numFmtId="177" fontId="2" fillId="0" borderId="7" xfId="18" applyNumberFormat="1" applyFont="1" applyFill="1" applyBorder="1" applyAlignment="1">
      <alignment horizontal="center"/>
    </xf>
    <xf numFmtId="177" fontId="25" fillId="0" borderId="8" xfId="18" applyNumberFormat="1" applyFont="1" applyBorder="1" applyAlignment="1">
      <alignment horizontal="center" vertical="top" wrapText="1"/>
    </xf>
    <xf numFmtId="177" fontId="25" fillId="0" borderId="9" xfId="18" applyNumberFormat="1" applyFont="1" applyBorder="1" applyAlignment="1">
      <alignment horizontal="center" vertical="top" wrapText="1"/>
    </xf>
    <xf numFmtId="177" fontId="2" fillId="0" borderId="4" xfId="18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0" fontId="2" fillId="0" borderId="2" xfId="0" applyNumberFormat="1" applyFont="1" applyBorder="1"/>
    <xf numFmtId="172" fontId="2" fillId="0" borderId="3" xfId="0" applyNumberFormat="1" applyFont="1" applyBorder="1"/>
    <xf numFmtId="44" fontId="18" fillId="0" borderId="0" xfId="19" applyFont="1" applyFill="1" applyBorder="1"/>
    <xf numFmtId="44" fontId="2" fillId="0" borderId="0" xfId="19" applyFont="1" applyBorder="1"/>
    <xf numFmtId="0" fontId="1" fillId="9" borderId="3" xfId="0" applyFont="1" applyFill="1" applyBorder="1" applyAlignment="1">
      <alignment horizontal="center"/>
    </xf>
    <xf numFmtId="0" fontId="0" fillId="10" borderId="0" xfId="0" applyFill="1"/>
    <xf numFmtId="0" fontId="36" fillId="10" borderId="0" xfId="0" applyFont="1" applyFill="1"/>
    <xf numFmtId="0" fontId="37" fillId="10" borderId="1" xfId="0" applyFont="1" applyFill="1" applyBorder="1" applyAlignment="1">
      <alignment horizontal="center"/>
    </xf>
    <xf numFmtId="0" fontId="2" fillId="10" borderId="0" xfId="0" applyFont="1" applyFill="1"/>
    <xf numFmtId="0" fontId="2" fillId="10" borderId="0" xfId="0" applyFont="1" applyFill="1" applyBorder="1"/>
    <xf numFmtId="167" fontId="10" fillId="10" borderId="0" xfId="0" applyNumberFormat="1" applyFont="1" applyFill="1" applyBorder="1" applyAlignment="1">
      <alignment horizontal="right" vertical="top" wrapText="1"/>
    </xf>
    <xf numFmtId="167" fontId="13" fillId="10" borderId="0" xfId="0" applyNumberFormat="1" applyFont="1" applyFill="1" applyBorder="1" applyAlignment="1">
      <alignment horizontal="right" vertical="top" wrapText="1"/>
    </xf>
    <xf numFmtId="167" fontId="23" fillId="10" borderId="0" xfId="0" applyNumberFormat="1" applyFont="1" applyFill="1" applyBorder="1"/>
    <xf numFmtId="172" fontId="2" fillId="10" borderId="0" xfId="0" applyNumberFormat="1" applyFont="1" applyFill="1" applyBorder="1"/>
    <xf numFmtId="167" fontId="24" fillId="10" borderId="0" xfId="0" applyNumberFormat="1" applyFont="1" applyFill="1" applyBorder="1" applyAlignment="1">
      <alignment horizontal="right" vertical="top" wrapText="1"/>
    </xf>
    <xf numFmtId="9" fontId="2" fillId="10" borderId="0" xfId="0" applyNumberFormat="1" applyFont="1" applyFill="1"/>
    <xf numFmtId="0" fontId="2" fillId="0" borderId="0" xfId="18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10" fontId="2" fillId="0" borderId="0" xfId="18" applyNumberFormat="1" applyFont="1" applyBorder="1"/>
    <xf numFmtId="10" fontId="2" fillId="0" borderId="0" xfId="0" applyNumberFormat="1" applyFont="1" applyBorder="1"/>
    <xf numFmtId="9" fontId="2" fillId="0" borderId="0" xfId="0" applyNumberFormat="1" applyFont="1" applyBorder="1"/>
    <xf numFmtId="172" fontId="2" fillId="0" borderId="0" xfId="19" applyNumberFormat="1" applyFont="1" applyFill="1" applyBorder="1"/>
    <xf numFmtId="0" fontId="2" fillId="0" borderId="0" xfId="18" applyNumberFormat="1" applyFont="1" applyBorder="1"/>
    <xf numFmtId="43" fontId="2" fillId="0" borderId="0" xfId="0" applyNumberFormat="1" applyFont="1" applyFill="1" applyBorder="1" applyAlignment="1">
      <alignment horizontal="center"/>
    </xf>
    <xf numFmtId="43" fontId="0" fillId="0" borderId="0" xfId="0" applyNumberFormat="1"/>
    <xf numFmtId="170" fontId="0" fillId="0" borderId="0" xfId="0" applyNumberFormat="1"/>
    <xf numFmtId="168" fontId="0" fillId="0" borderId="0" xfId="0" applyNumberFormat="1"/>
    <xf numFmtId="0" fontId="0" fillId="0" borderId="2" xfId="0" applyBorder="1"/>
    <xf numFmtId="168" fontId="0" fillId="0" borderId="2" xfId="0" applyNumberFormat="1" applyBorder="1"/>
    <xf numFmtId="0" fontId="0" fillId="0" borderId="0" xfId="0" applyBorder="1"/>
    <xf numFmtId="168" fontId="0" fillId="0" borderId="0" xfId="0" applyNumberFormat="1" applyBorder="1"/>
    <xf numFmtId="168" fontId="2" fillId="0" borderId="0" xfId="0" applyNumberFormat="1" applyFont="1" applyFill="1" applyBorder="1"/>
    <xf numFmtId="0" fontId="19" fillId="0" borderId="0" xfId="0" applyFont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25" fillId="10" borderId="0" xfId="0" applyNumberFormat="1" applyFont="1" applyFill="1" applyBorder="1" applyAlignment="1">
      <alignment horizontal="right" vertical="top" wrapText="1"/>
    </xf>
    <xf numFmtId="167" fontId="26" fillId="10" borderId="0" xfId="0" applyNumberFormat="1" applyFont="1" applyFill="1" applyBorder="1" applyAlignment="1">
      <alignment horizontal="right" vertical="top" wrapText="1"/>
    </xf>
    <xf numFmtId="167" fontId="18" fillId="10" borderId="0" xfId="0" applyNumberFormat="1" applyFont="1" applyFill="1" applyBorder="1"/>
    <xf numFmtId="167" fontId="27" fillId="10" borderId="0" xfId="0" applyNumberFormat="1" applyFont="1" applyFill="1" applyBorder="1" applyAlignment="1">
      <alignment horizontal="right" vertical="top" wrapText="1"/>
    </xf>
    <xf numFmtId="9" fontId="0" fillId="0" borderId="11" xfId="18" applyFont="1" applyBorder="1" applyAlignment="1">
      <alignment horizontal="center"/>
    </xf>
    <xf numFmtId="9" fontId="0" fillId="0" borderId="12" xfId="18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4" xfId="19" applyFont="1" applyBorder="1" applyAlignment="1">
      <alignment horizontal="center"/>
    </xf>
    <xf numFmtId="44" fontId="0" fillId="0" borderId="0" xfId="19" applyFont="1" applyBorder="1" applyAlignment="1">
      <alignment horizontal="center"/>
    </xf>
    <xf numFmtId="0" fontId="0" fillId="0" borderId="14" xfId="19" applyNumberFormat="1" applyFont="1" applyBorder="1" applyAlignment="1"/>
    <xf numFmtId="0" fontId="0" fillId="0" borderId="0" xfId="19" applyNumberFormat="1" applyFont="1" applyBorder="1" applyAlignment="1"/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44" fontId="0" fillId="0" borderId="16" xfId="19" applyFont="1" applyBorder="1" applyAlignment="1">
      <alignment horizontal="center"/>
    </xf>
    <xf numFmtId="44" fontId="0" fillId="0" borderId="17" xfId="19" applyFon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38" fillId="10" borderId="1" xfId="0" applyFont="1" applyFill="1" applyBorder="1" applyAlignment="1">
      <alignment horizontal="center"/>
    </xf>
    <xf numFmtId="0" fontId="39" fillId="10" borderId="0" xfId="0" applyFont="1" applyFill="1"/>
    <xf numFmtId="0" fontId="39" fillId="10" borderId="0" xfId="0" applyFont="1" applyFill="1" applyBorder="1"/>
    <xf numFmtId="0" fontId="39" fillId="10" borderId="3" xfId="0" applyFont="1" applyFill="1" applyBorder="1"/>
    <xf numFmtId="0" fontId="39" fillId="10" borderId="2" xfId="0" applyFont="1" applyFill="1" applyBorder="1"/>
    <xf numFmtId="0" fontId="39" fillId="10" borderId="5" xfId="0" applyFont="1" applyFill="1" applyBorder="1"/>
    <xf numFmtId="0" fontId="39" fillId="10" borderId="6" xfId="0" applyFont="1" applyFill="1" applyBorder="1"/>
    <xf numFmtId="0" fontId="39" fillId="10" borderId="7" xfId="0" applyFont="1" applyFill="1" applyBorder="1"/>
    <xf numFmtId="0" fontId="38" fillId="10" borderId="19" xfId="0" applyFont="1" applyFill="1" applyBorder="1" applyAlignment="1">
      <alignment horizontal="center"/>
    </xf>
    <xf numFmtId="0" fontId="38" fillId="10" borderId="20" xfId="0" applyFont="1" applyFill="1" applyBorder="1" applyAlignment="1">
      <alignment horizontal="center"/>
    </xf>
    <xf numFmtId="168" fontId="38" fillId="10" borderId="20" xfId="0" applyNumberFormat="1" applyFont="1" applyFill="1" applyBorder="1" applyAlignment="1">
      <alignment horizontal="center"/>
    </xf>
    <xf numFmtId="168" fontId="38" fillId="10" borderId="21" xfId="0" applyNumberFormat="1" applyFont="1" applyFill="1" applyBorder="1" applyAlignment="1">
      <alignment horizontal="center"/>
    </xf>
  </cellXfs>
  <cellStyles count="23">
    <cellStyle name="ChartingText" xfId="15"/>
    <cellStyle name="CHPAboveAverage" xfId="16"/>
    <cellStyle name="CHPBelowAverage" xfId="16"/>
    <cellStyle name="CHPBottom" xfId="16"/>
    <cellStyle name="CHPTop" xfId="16"/>
    <cellStyle name="ColumnHeaderNormal" xfId="7"/>
    <cellStyle name="Comma" xfId="17" builtinId="3"/>
    <cellStyle name="Currency" xfId="19" builtinId="4"/>
    <cellStyle name="Invisible" xfId="14"/>
    <cellStyle name="NewColumnHeaderNormal" xfId="5"/>
    <cellStyle name="NewSectionHeaderNormal" xfId="4"/>
    <cellStyle name="NewTitleNormal" xfId="3"/>
    <cellStyle name="Normal" xfId="0" builtinId="0"/>
    <cellStyle name="Normal 2" xfId="1"/>
    <cellStyle name="Percent" xfId="18" builtinId="5"/>
    <cellStyle name="SectionHeaderNormal" xfId="6"/>
    <cellStyle name="SubScript" xfId="10"/>
    <cellStyle name="SuperScript" xfId="9"/>
    <cellStyle name="TextBold" xfId="11"/>
    <cellStyle name="TextItalic" xfId="12"/>
    <cellStyle name="TextNormal" xfId="8"/>
    <cellStyle name="TitleNormal" xfId="2"/>
    <cellStyle name="Total 2" xfId="13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tyles" Target="styles.xml"/>
  <Relationship Id="rId11" Type="http://schemas.openxmlformats.org/officeDocument/2006/relationships/sharedStrings" Target="sharedStrings.xml"/>
  <Relationship Id="rId12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theme" Target="theme/theme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/>
  </sheetViews>
  <sheetFormatPr defaultRowHeight="14.4" x14ac:dyDescent="0.3"/>
  <sheetData>
    <row r="1" spans="1:7" x14ac:dyDescent="0.3">
      <c r="A1">
        <v>7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A5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5" sqref="G35"/>
    </sheetView>
  </sheetViews>
  <sheetFormatPr defaultColWidth="9.109375" defaultRowHeight="12" x14ac:dyDescent="0.25"/>
  <cols>
    <col min="1" max="1" width="26.6640625" style="5" customWidth="1"/>
    <col min="2" max="6" width="5.77734375" style="1" customWidth="1"/>
    <col min="7" max="7" width="8.77734375" style="1" customWidth="1"/>
    <col min="8" max="15" width="9.109375" style="1"/>
    <col min="16" max="16" width="9.109375" style="173"/>
    <col min="17" max="16384" width="9.109375" style="1"/>
  </cols>
  <sheetData>
    <row r="1" spans="1:22" x14ac:dyDescent="0.25">
      <c r="A1" s="43" t="s">
        <v>69</v>
      </c>
      <c r="B1" s="3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174"/>
      <c r="Q1" s="5"/>
      <c r="R1" s="5"/>
      <c r="S1" s="5"/>
    </row>
    <row r="2" spans="1:22" x14ac:dyDescent="0.25">
      <c r="A2" s="9"/>
      <c r="B2" s="172">
        <v>2010</v>
      </c>
      <c r="C2" s="172">
        <v>2011</v>
      </c>
      <c r="D2" s="172">
        <v>2012</v>
      </c>
      <c r="E2" s="172">
        <v>2013</v>
      </c>
      <c r="F2" s="172">
        <v>2014</v>
      </c>
      <c r="G2" s="169">
        <v>2015</v>
      </c>
      <c r="H2" s="169">
        <v>2016</v>
      </c>
      <c r="I2" s="169">
        <v>2017</v>
      </c>
      <c r="J2" s="169">
        <v>2018</v>
      </c>
      <c r="K2" s="169">
        <v>2019</v>
      </c>
      <c r="L2" s="169">
        <v>2020</v>
      </c>
      <c r="M2" s="169">
        <v>2021</v>
      </c>
      <c r="N2" s="169">
        <v>2022</v>
      </c>
      <c r="O2" s="169">
        <v>2023</v>
      </c>
      <c r="P2" s="174"/>
      <c r="Q2" s="5"/>
      <c r="R2" s="5"/>
      <c r="S2" s="5"/>
    </row>
    <row r="3" spans="1:22" ht="12.6" thickBot="1" x14ac:dyDescent="0.3">
      <c r="A3" s="18" t="s">
        <v>23</v>
      </c>
      <c r="B3" s="17"/>
      <c r="C3" s="17"/>
      <c r="D3" s="17"/>
      <c r="E3" s="17"/>
      <c r="F3" s="17"/>
      <c r="G3" s="5"/>
      <c r="H3" s="5"/>
      <c r="I3" s="5"/>
      <c r="J3" s="5"/>
      <c r="K3" s="5"/>
      <c r="L3" s="5"/>
      <c r="M3" s="5"/>
      <c r="N3" s="5"/>
      <c r="O3" s="5"/>
      <c r="P3" s="174"/>
      <c r="Q3" s="5"/>
      <c r="R3" s="5"/>
      <c r="S3" s="5"/>
    </row>
    <row r="4" spans="1:22" ht="12.6" thickBot="1" x14ac:dyDescent="0.3">
      <c r="A4" s="8" t="s">
        <v>3</v>
      </c>
      <c r="B4" s="30">
        <v>289.89999999999998</v>
      </c>
      <c r="C4" s="30">
        <v>304.10000000000002</v>
      </c>
      <c r="D4" s="30">
        <v>316.39999999999998</v>
      </c>
      <c r="E4" s="30">
        <v>329</v>
      </c>
      <c r="F4" s="30">
        <v>345.5</v>
      </c>
      <c r="G4" s="133">
        <f>F4*105%</f>
        <v>362.77500000000003</v>
      </c>
      <c r="H4" s="133">
        <f t="shared" ref="H4:K4" si="0">G4*105%</f>
        <v>380.91375000000005</v>
      </c>
      <c r="I4" s="133">
        <f t="shared" si="0"/>
        <v>399.95943750000009</v>
      </c>
      <c r="J4" s="133">
        <f t="shared" si="0"/>
        <v>419.95740937500011</v>
      </c>
      <c r="K4" s="133">
        <f t="shared" si="0"/>
        <v>440.95527984375013</v>
      </c>
      <c r="L4" s="133">
        <f>K4*104%</f>
        <v>458.59349103750014</v>
      </c>
      <c r="M4" s="133">
        <f t="shared" ref="M4:O4" si="1">L4*104%</f>
        <v>476.93723067900015</v>
      </c>
      <c r="N4" s="133">
        <f t="shared" si="1"/>
        <v>496.01471990616017</v>
      </c>
      <c r="O4" s="133">
        <f t="shared" si="1"/>
        <v>515.85530870240655</v>
      </c>
      <c r="P4" s="205"/>
      <c r="Q4" s="162">
        <v>2010</v>
      </c>
      <c r="R4" s="163">
        <v>2011</v>
      </c>
      <c r="S4" s="163">
        <v>2012</v>
      </c>
      <c r="T4" s="163">
        <v>2013</v>
      </c>
      <c r="U4" s="164" t="s">
        <v>58</v>
      </c>
      <c r="V4" s="94" t="s">
        <v>123</v>
      </c>
    </row>
    <row r="5" spans="1:22" ht="12.6" thickBot="1" x14ac:dyDescent="0.3">
      <c r="A5" s="10" t="s">
        <v>11</v>
      </c>
      <c r="B5" s="22">
        <v>259.39999999999998</v>
      </c>
      <c r="C5" s="22">
        <v>273.10000000000002</v>
      </c>
      <c r="D5" s="22">
        <v>284.10000000000002</v>
      </c>
      <c r="E5" s="22">
        <v>295.3</v>
      </c>
      <c r="F5" s="22">
        <v>310.39999999999998</v>
      </c>
      <c r="G5" s="133">
        <f>G4*$V$5</f>
        <v>325.53554275243334</v>
      </c>
      <c r="H5" s="133">
        <f t="shared" ref="H5:O5" si="2">H4*$V$5</f>
        <v>341.81231989005499</v>
      </c>
      <c r="I5" s="133">
        <f t="shared" si="2"/>
        <v>358.90293588455779</v>
      </c>
      <c r="J5" s="133">
        <f t="shared" si="2"/>
        <v>376.84808267878572</v>
      </c>
      <c r="K5" s="133">
        <f t="shared" si="2"/>
        <v>395.690486812725</v>
      </c>
      <c r="L5" s="133">
        <f t="shared" si="2"/>
        <v>411.51810628523401</v>
      </c>
      <c r="M5" s="133">
        <f t="shared" si="2"/>
        <v>427.97883053664339</v>
      </c>
      <c r="N5" s="133">
        <f t="shared" si="2"/>
        <v>445.09798375810914</v>
      </c>
      <c r="O5" s="133">
        <f t="shared" si="2"/>
        <v>462.90190310843349</v>
      </c>
      <c r="P5" s="205"/>
      <c r="Q5" s="159">
        <f>B5/B4</f>
        <v>0.89479130734736112</v>
      </c>
      <c r="R5" s="160">
        <f>C5/C4</f>
        <v>0.89805984873396905</v>
      </c>
      <c r="S5" s="160">
        <f>D5/D4</f>
        <v>0.89791403286978522</v>
      </c>
      <c r="T5" s="160">
        <f>E5/E4</f>
        <v>0.89756838905775083</v>
      </c>
      <c r="U5" s="160">
        <f>F5/F4</f>
        <v>0.89840810419681616</v>
      </c>
      <c r="V5" s="161">
        <f>AVERAGE(Q5:U5)</f>
        <v>0.89734833644113654</v>
      </c>
    </row>
    <row r="6" spans="1:22" x14ac:dyDescent="0.25">
      <c r="A6" s="8" t="s">
        <v>15</v>
      </c>
      <c r="B6" s="20">
        <v>30.5</v>
      </c>
      <c r="C6" s="20">
        <v>31</v>
      </c>
      <c r="D6" s="20">
        <v>32.299999999999955</v>
      </c>
      <c r="E6" s="20">
        <v>33.699999999999989</v>
      </c>
      <c r="F6" s="20">
        <v>35.100000000000023</v>
      </c>
      <c r="G6" s="135">
        <f>G4-G5</f>
        <v>37.239457247566691</v>
      </c>
      <c r="H6" s="135">
        <f t="shared" ref="H6:O6" si="3">H4-H5</f>
        <v>39.101430109945056</v>
      </c>
      <c r="I6" s="135">
        <f t="shared" si="3"/>
        <v>41.056501615442301</v>
      </c>
      <c r="J6" s="135">
        <f t="shared" si="3"/>
        <v>43.109326696214396</v>
      </c>
      <c r="K6" s="135">
        <f t="shared" si="3"/>
        <v>45.264793031025135</v>
      </c>
      <c r="L6" s="135">
        <f t="shared" si="3"/>
        <v>47.075384752266132</v>
      </c>
      <c r="M6" s="135">
        <f t="shared" si="3"/>
        <v>48.958400142356766</v>
      </c>
      <c r="N6" s="135">
        <f t="shared" si="3"/>
        <v>50.916736148051029</v>
      </c>
      <c r="O6" s="135">
        <f t="shared" si="3"/>
        <v>52.953405593973059</v>
      </c>
      <c r="P6" s="174"/>
      <c r="Q6" s="144"/>
      <c r="R6" s="144"/>
      <c r="S6" s="144"/>
      <c r="T6" s="92"/>
      <c r="U6" s="92"/>
      <c r="V6" s="92"/>
    </row>
    <row r="7" spans="1:22" s="2" customFormat="1" x14ac:dyDescent="0.25">
      <c r="A7" s="11" t="s">
        <v>20</v>
      </c>
      <c r="B7" s="20">
        <v>20.9</v>
      </c>
      <c r="C7" s="20">
        <v>21.6</v>
      </c>
      <c r="D7" s="20">
        <v>26.7</v>
      </c>
      <c r="E7" s="20">
        <v>28.6</v>
      </c>
      <c r="F7" s="20">
        <v>30.3</v>
      </c>
      <c r="G7" s="139">
        <f>G6-G9-G8</f>
        <v>29.697832247566687</v>
      </c>
      <c r="H7" s="139">
        <f t="shared" ref="H7:O7" si="4">H6-H9-H8</f>
        <v>29.083155109945057</v>
      </c>
      <c r="I7" s="139">
        <f t="shared" si="4"/>
        <v>28.357515677942299</v>
      </c>
      <c r="J7" s="139">
        <f t="shared" si="4"/>
        <v>27.510604414964391</v>
      </c>
      <c r="K7" s="139">
        <f t="shared" si="4"/>
        <v>28.736134635712627</v>
      </c>
      <c r="L7" s="139">
        <f t="shared" si="4"/>
        <v>29.717580021141128</v>
      </c>
      <c r="M7" s="139">
        <f t="shared" si="4"/>
        <v>30.750283221986763</v>
      </c>
      <c r="N7" s="139">
        <f t="shared" si="4"/>
        <v>31.836294550866224</v>
      </c>
      <c r="O7" s="139">
        <f t="shared" si="4"/>
        <v>32.977746332900864</v>
      </c>
      <c r="P7" s="205"/>
      <c r="Q7" s="144"/>
      <c r="R7" s="144"/>
      <c r="S7" s="144"/>
      <c r="T7" s="57"/>
      <c r="U7" s="57"/>
      <c r="V7" s="57"/>
    </row>
    <row r="8" spans="1:22" ht="12.75" customHeight="1" x14ac:dyDescent="0.25">
      <c r="A8" s="10" t="s">
        <v>13</v>
      </c>
      <c r="B8" s="22">
        <v>1.6</v>
      </c>
      <c r="C8" s="22">
        <v>1.6</v>
      </c>
      <c r="D8" s="22">
        <v>1.7</v>
      </c>
      <c r="E8" s="22">
        <v>1.7</v>
      </c>
      <c r="F8" s="22">
        <v>1.8</v>
      </c>
      <c r="G8" s="138">
        <f>F8+0.3</f>
        <v>2.1</v>
      </c>
      <c r="H8" s="138">
        <f t="shared" ref="H8:O8" si="5">G8+0.3</f>
        <v>2.4</v>
      </c>
      <c r="I8" s="138">
        <f t="shared" si="5"/>
        <v>2.6999999999999997</v>
      </c>
      <c r="J8" s="138">
        <f t="shared" si="5"/>
        <v>2.9999999999999996</v>
      </c>
      <c r="K8" s="138">
        <f t="shared" si="5"/>
        <v>3.2999999999999994</v>
      </c>
      <c r="L8" s="138">
        <f t="shared" si="5"/>
        <v>3.5999999999999992</v>
      </c>
      <c r="M8" s="138">
        <f t="shared" si="5"/>
        <v>3.899999999999999</v>
      </c>
      <c r="N8" s="138">
        <f t="shared" si="5"/>
        <v>4.1999999999999993</v>
      </c>
      <c r="O8" s="138">
        <f t="shared" si="5"/>
        <v>4.4999999999999991</v>
      </c>
      <c r="P8" s="205"/>
      <c r="Q8" s="144"/>
      <c r="R8" s="144"/>
      <c r="S8" s="144"/>
      <c r="T8" s="92"/>
      <c r="U8" s="92"/>
      <c r="V8" s="92"/>
    </row>
    <row r="9" spans="1:22" s="2" customFormat="1" x14ac:dyDescent="0.25">
      <c r="A9" s="11" t="s">
        <v>16</v>
      </c>
      <c r="B9" s="20">
        <v>8.0000000000000018</v>
      </c>
      <c r="C9" s="20">
        <v>7.7999999999999989</v>
      </c>
      <c r="D9" s="20">
        <v>3.8999999999999551</v>
      </c>
      <c r="E9" s="20">
        <v>3.399999999999987</v>
      </c>
      <c r="F9" s="20">
        <v>3.0000000000000222</v>
      </c>
      <c r="G9" s="136">
        <f>G4*1.5%</f>
        <v>5.4416250000000002</v>
      </c>
      <c r="H9" s="136">
        <f>H4*2%</f>
        <v>7.6182750000000015</v>
      </c>
      <c r="I9" s="136">
        <f>I4*2.5%</f>
        <v>9.9989859375000023</v>
      </c>
      <c r="J9" s="136">
        <f>J4*3%</f>
        <v>12.598722281250003</v>
      </c>
      <c r="K9" s="136">
        <f t="shared" ref="K9:O9" si="6">K4*3%</f>
        <v>13.228658395312504</v>
      </c>
      <c r="L9" s="136">
        <f t="shared" si="6"/>
        <v>13.757804731125004</v>
      </c>
      <c r="M9" s="136">
        <f t="shared" si="6"/>
        <v>14.308116920370004</v>
      </c>
      <c r="N9" s="136">
        <f t="shared" si="6"/>
        <v>14.880441597184804</v>
      </c>
      <c r="O9" s="136">
        <f t="shared" si="6"/>
        <v>15.475659261072195</v>
      </c>
      <c r="P9" s="174"/>
      <c r="Q9" s="70"/>
      <c r="R9" s="189"/>
      <c r="S9" s="70"/>
      <c r="T9" s="57"/>
      <c r="U9" s="57"/>
      <c r="V9" s="57"/>
    </row>
    <row r="10" spans="1:22" x14ac:dyDescent="0.25">
      <c r="A10" s="12" t="s">
        <v>4</v>
      </c>
      <c r="B10" s="23">
        <v>0</v>
      </c>
      <c r="C10" s="23">
        <v>0</v>
      </c>
      <c r="D10" s="23">
        <v>0.3</v>
      </c>
      <c r="E10" s="23">
        <v>0.2</v>
      </c>
      <c r="F10" s="23">
        <v>0</v>
      </c>
      <c r="G10" s="32">
        <f>G29*5.5%</f>
        <v>0</v>
      </c>
      <c r="H10" s="32">
        <f>G10</f>
        <v>0</v>
      </c>
      <c r="I10" s="32">
        <f>H10</f>
        <v>0</v>
      </c>
      <c r="J10" s="32">
        <f t="shared" ref="J10:O10" si="7">I10</f>
        <v>0</v>
      </c>
      <c r="K10" s="32">
        <f t="shared" si="7"/>
        <v>0</v>
      </c>
      <c r="L10" s="32">
        <f t="shared" si="7"/>
        <v>0</v>
      </c>
      <c r="M10" s="32">
        <f t="shared" si="7"/>
        <v>0</v>
      </c>
      <c r="N10" s="32">
        <f t="shared" si="7"/>
        <v>0</v>
      </c>
      <c r="O10" s="32">
        <f t="shared" si="7"/>
        <v>0</v>
      </c>
      <c r="P10" s="205"/>
      <c r="Q10" s="144"/>
      <c r="R10" s="144"/>
      <c r="S10" s="144"/>
      <c r="T10" s="92"/>
      <c r="U10" s="92"/>
      <c r="V10" s="92"/>
    </row>
    <row r="11" spans="1:22" x14ac:dyDescent="0.25">
      <c r="A11" s="10" t="s">
        <v>14</v>
      </c>
      <c r="B11" s="22">
        <v>2.8000000000000003</v>
      </c>
      <c r="C11" s="22">
        <v>2.7299999999999995</v>
      </c>
      <c r="D11" s="22">
        <v>1.2599999999999842</v>
      </c>
      <c r="E11" s="22">
        <v>1.1199999999999952</v>
      </c>
      <c r="F11" s="22">
        <v>1.0500000000000078</v>
      </c>
      <c r="G11" s="137">
        <f>G9*35%</f>
        <v>1.9045687499999999</v>
      </c>
      <c r="H11" s="137">
        <f t="shared" ref="H11:O11" si="8">H9*35%</f>
        <v>2.6663962500000005</v>
      </c>
      <c r="I11" s="137">
        <f t="shared" si="8"/>
        <v>3.4996450781250008</v>
      </c>
      <c r="J11" s="137">
        <f t="shared" si="8"/>
        <v>4.4095527984375007</v>
      </c>
      <c r="K11" s="137">
        <f t="shared" si="8"/>
        <v>4.630030438359376</v>
      </c>
      <c r="L11" s="137">
        <f t="shared" si="8"/>
        <v>4.8152316558937516</v>
      </c>
      <c r="M11" s="137">
        <f t="shared" si="8"/>
        <v>5.0078409221295015</v>
      </c>
      <c r="N11" s="137">
        <f t="shared" si="8"/>
        <v>5.2081545590146812</v>
      </c>
      <c r="O11" s="137">
        <f t="shared" si="8"/>
        <v>5.4164807413752678</v>
      </c>
      <c r="P11" s="205"/>
      <c r="Q11" s="144"/>
      <c r="R11" s="144"/>
      <c r="S11" s="144"/>
      <c r="T11" s="182"/>
      <c r="U11" s="92"/>
      <c r="V11" s="92"/>
    </row>
    <row r="12" spans="1:22" x14ac:dyDescent="0.25">
      <c r="A12" s="14" t="s">
        <v>7</v>
      </c>
      <c r="B12" s="20">
        <v>5.2000000000000011</v>
      </c>
      <c r="C12" s="20">
        <v>5.0699999999999994</v>
      </c>
      <c r="D12" s="20">
        <v>2.339999999999971</v>
      </c>
      <c r="E12" s="20">
        <v>2.0799999999999916</v>
      </c>
      <c r="F12" s="20">
        <v>1.9500000000000144</v>
      </c>
      <c r="G12" s="135">
        <f>G9-G10-G11</f>
        <v>3.53705625</v>
      </c>
      <c r="H12" s="135">
        <f t="shared" ref="H12:O12" si="9">H9-H10-H11</f>
        <v>4.9518787500000006</v>
      </c>
      <c r="I12" s="135">
        <f t="shared" si="9"/>
        <v>6.4993408593750015</v>
      </c>
      <c r="J12" s="135">
        <f t="shared" si="9"/>
        <v>8.1891694828125026</v>
      </c>
      <c r="K12" s="135">
        <f t="shared" si="9"/>
        <v>8.598627956953127</v>
      </c>
      <c r="L12" s="135">
        <f t="shared" si="9"/>
        <v>8.9425730752312518</v>
      </c>
      <c r="M12" s="135">
        <f t="shared" si="9"/>
        <v>9.3002759982405028</v>
      </c>
      <c r="N12" s="135">
        <f t="shared" si="9"/>
        <v>9.672287038170122</v>
      </c>
      <c r="O12" s="135">
        <f t="shared" si="9"/>
        <v>10.059178519696928</v>
      </c>
      <c r="P12" s="174"/>
      <c r="Q12" s="77"/>
      <c r="R12" s="77"/>
      <c r="S12" s="77"/>
      <c r="T12" s="183"/>
      <c r="U12" s="92"/>
      <c r="V12" s="92"/>
    </row>
    <row r="13" spans="1:22" x14ac:dyDescent="0.25">
      <c r="A13" s="14" t="s">
        <v>30</v>
      </c>
      <c r="B13" s="20">
        <f>$B$18*B17</f>
        <v>0.8</v>
      </c>
      <c r="C13" s="20">
        <f t="shared" ref="C13:O13" si="10">$B$18*C17</f>
        <v>0.8</v>
      </c>
      <c r="D13" s="20">
        <f t="shared" si="10"/>
        <v>0.8</v>
      </c>
      <c r="E13" s="20">
        <f t="shared" si="10"/>
        <v>0.8</v>
      </c>
      <c r="F13" s="20">
        <f t="shared" si="10"/>
        <v>0.8</v>
      </c>
      <c r="G13" s="20">
        <f t="shared" si="10"/>
        <v>0.8</v>
      </c>
      <c r="H13" s="20">
        <f t="shared" si="10"/>
        <v>0.8</v>
      </c>
      <c r="I13" s="20">
        <f t="shared" si="10"/>
        <v>0.8</v>
      </c>
      <c r="J13" s="20">
        <f t="shared" si="10"/>
        <v>0.8</v>
      </c>
      <c r="K13" s="20">
        <f t="shared" si="10"/>
        <v>0.8</v>
      </c>
      <c r="L13" s="20">
        <f t="shared" si="10"/>
        <v>0.8</v>
      </c>
      <c r="M13" s="20">
        <f t="shared" si="10"/>
        <v>0.8</v>
      </c>
      <c r="N13" s="20">
        <f t="shared" si="10"/>
        <v>0.8</v>
      </c>
      <c r="O13" s="20">
        <f t="shared" si="10"/>
        <v>0.8</v>
      </c>
      <c r="P13" s="174"/>
      <c r="Q13" s="77"/>
      <c r="R13" s="77"/>
      <c r="S13" s="77"/>
      <c r="T13" s="92"/>
      <c r="U13" s="92"/>
      <c r="V13" s="92"/>
    </row>
    <row r="14" spans="1:22" x14ac:dyDescent="0.25">
      <c r="A14" s="14" t="s">
        <v>121</v>
      </c>
      <c r="B14" s="20">
        <f>B12-B13</f>
        <v>4.4000000000000012</v>
      </c>
      <c r="C14" s="20">
        <f t="shared" ref="C14:O14" si="11">C12-C13</f>
        <v>4.2699999999999996</v>
      </c>
      <c r="D14" s="20">
        <f t="shared" si="11"/>
        <v>1.5399999999999709</v>
      </c>
      <c r="E14" s="20">
        <f t="shared" si="11"/>
        <v>1.2799999999999916</v>
      </c>
      <c r="F14" s="20">
        <f t="shared" si="11"/>
        <v>1.1500000000000143</v>
      </c>
      <c r="G14" s="20">
        <f t="shared" si="11"/>
        <v>2.7370562500000002</v>
      </c>
      <c r="H14" s="20">
        <f t="shared" si="11"/>
        <v>4.1518787500000007</v>
      </c>
      <c r="I14" s="20">
        <f t="shared" si="11"/>
        <v>5.6993408593750017</v>
      </c>
      <c r="J14" s="20">
        <f t="shared" si="11"/>
        <v>7.3891694828125027</v>
      </c>
      <c r="K14" s="20">
        <f t="shared" si="11"/>
        <v>7.7986279569531272</v>
      </c>
      <c r="L14" s="20">
        <f t="shared" si="11"/>
        <v>8.1425730752312511</v>
      </c>
      <c r="M14" s="20">
        <f t="shared" si="11"/>
        <v>8.5002759982405021</v>
      </c>
      <c r="N14" s="20">
        <f t="shared" si="11"/>
        <v>8.8722870381701213</v>
      </c>
      <c r="O14" s="20">
        <f t="shared" si="11"/>
        <v>9.2591785196969276</v>
      </c>
      <c r="P14" s="174"/>
      <c r="Q14" s="77"/>
      <c r="R14" s="77"/>
      <c r="S14" s="77"/>
      <c r="T14" s="92"/>
      <c r="U14" s="92"/>
      <c r="V14" s="92"/>
    </row>
    <row r="15" spans="1:22" x14ac:dyDescent="0.25">
      <c r="A15" s="14"/>
      <c r="B15" s="20"/>
      <c r="C15" s="20"/>
      <c r="D15" s="20"/>
      <c r="E15" s="20"/>
      <c r="F15" s="20"/>
      <c r="G15" s="5"/>
      <c r="H15" s="5"/>
      <c r="I15" s="31"/>
      <c r="J15" s="31"/>
      <c r="K15" s="31"/>
      <c r="L15" s="31"/>
      <c r="M15" s="31"/>
      <c r="N15" s="5"/>
      <c r="O15" s="5"/>
      <c r="P15" s="174"/>
      <c r="Q15" s="77"/>
      <c r="R15" s="77"/>
      <c r="S15" s="77"/>
      <c r="T15" s="92"/>
      <c r="U15" s="92"/>
      <c r="V15" s="92"/>
    </row>
    <row r="16" spans="1:22" x14ac:dyDescent="0.25">
      <c r="A16" s="14" t="s">
        <v>29</v>
      </c>
      <c r="B16" s="142">
        <v>1.3000000000000003</v>
      </c>
      <c r="C16" s="142">
        <v>1.2674999999999998</v>
      </c>
      <c r="D16" s="142">
        <v>0.58499999999999275</v>
      </c>
      <c r="E16" s="142">
        <v>0.51999999999999791</v>
      </c>
      <c r="F16" s="142">
        <v>0.4875000000000036</v>
      </c>
      <c r="G16" s="109">
        <f>G12/$B$18</f>
        <v>0.8842640625</v>
      </c>
      <c r="H16" s="109">
        <f t="shared" ref="H16:O16" si="12">H12/$B$18</f>
        <v>1.2379696875000001</v>
      </c>
      <c r="I16" s="109">
        <f t="shared" si="12"/>
        <v>1.6248352148437504</v>
      </c>
      <c r="J16" s="109">
        <f t="shared" si="12"/>
        <v>2.0472923707031256</v>
      </c>
      <c r="K16" s="109">
        <f t="shared" si="12"/>
        <v>2.1496569892382817</v>
      </c>
      <c r="L16" s="109">
        <f t="shared" si="12"/>
        <v>2.2356432688078129</v>
      </c>
      <c r="M16" s="109">
        <f t="shared" si="12"/>
        <v>2.3250689995601257</v>
      </c>
      <c r="N16" s="109">
        <f t="shared" si="12"/>
        <v>2.4180717595425305</v>
      </c>
      <c r="O16" s="109">
        <f t="shared" si="12"/>
        <v>2.5147946299242321</v>
      </c>
      <c r="P16" s="174"/>
      <c r="Q16" s="77"/>
      <c r="R16" s="77"/>
      <c r="S16" s="77"/>
      <c r="T16" s="92"/>
      <c r="U16" s="92"/>
      <c r="V16" s="92"/>
    </row>
    <row r="17" spans="1:27" x14ac:dyDescent="0.25">
      <c r="A17" s="14" t="s">
        <v>55</v>
      </c>
      <c r="B17" s="142">
        <v>0.2</v>
      </c>
      <c r="C17" s="142">
        <v>0.2</v>
      </c>
      <c r="D17" s="142">
        <v>0.2</v>
      </c>
      <c r="E17" s="142">
        <v>0.2</v>
      </c>
      <c r="F17" s="142">
        <v>0.2</v>
      </c>
      <c r="G17" s="142">
        <v>0.2</v>
      </c>
      <c r="H17" s="142">
        <v>0.2</v>
      </c>
      <c r="I17" s="142">
        <v>0.2</v>
      </c>
      <c r="J17" s="142">
        <v>0.2</v>
      </c>
      <c r="K17" s="142">
        <v>0.2</v>
      </c>
      <c r="L17" s="142">
        <v>0.2</v>
      </c>
      <c r="M17" s="142">
        <v>0.2</v>
      </c>
      <c r="N17" s="142">
        <v>0.2</v>
      </c>
      <c r="O17" s="142">
        <v>0.2</v>
      </c>
      <c r="P17" s="174"/>
      <c r="Q17" s="77"/>
      <c r="R17" s="77"/>
      <c r="S17" s="77"/>
      <c r="T17" s="92"/>
      <c r="U17" s="92"/>
      <c r="V17" s="92"/>
    </row>
    <row r="18" spans="1:27" ht="12.6" thickBot="1" x14ac:dyDescent="0.3">
      <c r="A18" s="14" t="s">
        <v>122</v>
      </c>
      <c r="B18" s="140">
        <f>B12/B16</f>
        <v>4</v>
      </c>
      <c r="C18" s="141"/>
      <c r="D18" s="141"/>
      <c r="E18" s="141"/>
      <c r="F18" s="141"/>
      <c r="G18" s="5"/>
      <c r="H18" s="5"/>
      <c r="I18" s="31"/>
      <c r="J18" s="31"/>
      <c r="K18" s="31"/>
      <c r="L18" s="31"/>
      <c r="M18" s="31"/>
      <c r="N18" s="5"/>
      <c r="O18" s="5"/>
      <c r="P18" s="174"/>
      <c r="Q18" s="77"/>
      <c r="R18" s="77"/>
      <c r="S18" s="77"/>
      <c r="T18" s="92"/>
      <c r="U18" s="92"/>
      <c r="V18" s="92"/>
      <c r="W18" s="200" t="s">
        <v>125</v>
      </c>
      <c r="X18" s="200"/>
      <c r="Y18" s="200"/>
      <c r="Z18" s="200"/>
      <c r="AA18" s="200"/>
    </row>
    <row r="19" spans="1:27" ht="12.6" thickBot="1" x14ac:dyDescent="0.3">
      <c r="A19" s="18" t="s">
        <v>24</v>
      </c>
      <c r="B19" s="44"/>
      <c r="C19" s="44"/>
      <c r="D19" s="44"/>
      <c r="E19" s="44"/>
      <c r="F19" s="44"/>
      <c r="G19" s="5"/>
      <c r="H19" s="5"/>
      <c r="I19" s="31"/>
      <c r="J19" s="31"/>
      <c r="K19" s="31"/>
      <c r="L19" s="31"/>
      <c r="M19" s="31"/>
      <c r="N19" s="5"/>
      <c r="O19" s="5"/>
      <c r="P19" s="174"/>
      <c r="Q19" s="162">
        <v>2010</v>
      </c>
      <c r="R19" s="163">
        <v>2011</v>
      </c>
      <c r="S19" s="163">
        <v>2012</v>
      </c>
      <c r="T19" s="163">
        <v>2013</v>
      </c>
      <c r="U19" s="163" t="s">
        <v>58</v>
      </c>
      <c r="V19" s="110" t="s">
        <v>123</v>
      </c>
      <c r="W19" s="112">
        <v>2015</v>
      </c>
      <c r="X19" s="112">
        <v>2016</v>
      </c>
      <c r="Y19" s="112">
        <v>2017</v>
      </c>
      <c r="Z19" s="112">
        <v>2018</v>
      </c>
      <c r="AA19" s="112" t="s">
        <v>126</v>
      </c>
    </row>
    <row r="20" spans="1:27" s="2" customFormat="1" x14ac:dyDescent="0.25">
      <c r="A20" s="11" t="s">
        <v>21</v>
      </c>
      <c r="B20" s="23">
        <v>3.6</v>
      </c>
      <c r="C20" s="23">
        <v>4.2207999999999961</v>
      </c>
      <c r="D20" s="23">
        <v>3.2639999999999709</v>
      </c>
      <c r="E20" s="23">
        <v>1.5249999999999628</v>
      </c>
      <c r="F20" s="23">
        <v>0.37449999999997119</v>
      </c>
      <c r="G20" s="139">
        <f>$G$4*V20</f>
        <v>3.0714686645155926</v>
      </c>
      <c r="H20" s="139">
        <f t="shared" ref="H20:O20" si="13">H4*$V$20</f>
        <v>3.2250420977413725</v>
      </c>
      <c r="I20" s="139">
        <f t="shared" si="13"/>
        <v>3.3862942026284411</v>
      </c>
      <c r="J20" s="139">
        <f t="shared" si="13"/>
        <v>3.5556089127598636</v>
      </c>
      <c r="K20" s="139">
        <f t="shared" si="13"/>
        <v>3.7333893583978566</v>
      </c>
      <c r="L20" s="139">
        <f t="shared" si="13"/>
        <v>3.8827249327337712</v>
      </c>
      <c r="M20" s="139">
        <f t="shared" si="13"/>
        <v>4.0380339300431221</v>
      </c>
      <c r="N20" s="139">
        <f t="shared" si="13"/>
        <v>4.1995552872448467</v>
      </c>
      <c r="O20" s="139">
        <f t="shared" si="13"/>
        <v>4.3675374987346407</v>
      </c>
      <c r="P20" s="205"/>
      <c r="Q20" s="145">
        <f>B20/$B$4</f>
        <v>1.2418075198344258E-2</v>
      </c>
      <c r="R20" s="146">
        <f t="shared" ref="R20:U20" si="14">C20/C4</f>
        <v>1.3879644853666544E-2</v>
      </c>
      <c r="S20" s="146">
        <f t="shared" si="14"/>
        <v>1.0316055625790048E-2</v>
      </c>
      <c r="T20" s="146">
        <f t="shared" si="14"/>
        <v>4.6352583586625013E-3</v>
      </c>
      <c r="U20" s="146">
        <f t="shared" si="14"/>
        <v>1.0839363241677892E-3</v>
      </c>
      <c r="V20" s="147">
        <f>AVERAGE(Q20:U20)</f>
        <v>8.4665940721262278E-3</v>
      </c>
    </row>
    <row r="21" spans="1:27" x14ac:dyDescent="0.25">
      <c r="A21" s="11" t="s">
        <v>8</v>
      </c>
      <c r="B21" s="23">
        <v>20.7</v>
      </c>
      <c r="C21" s="23">
        <v>22</v>
      </c>
      <c r="D21" s="23">
        <v>29.3</v>
      </c>
      <c r="E21" s="23">
        <v>30.4</v>
      </c>
      <c r="F21" s="23">
        <v>31</v>
      </c>
      <c r="G21" s="187">
        <v>31</v>
      </c>
      <c r="H21" s="139">
        <v>30.359393750000006</v>
      </c>
      <c r="I21" s="139">
        <v>31</v>
      </c>
      <c r="J21" s="139">
        <v>30.5</v>
      </c>
      <c r="K21" s="139">
        <v>29.552540535879405</v>
      </c>
      <c r="L21" s="139">
        <v>30.5</v>
      </c>
      <c r="M21" s="139">
        <v>30.5</v>
      </c>
      <c r="N21" s="139">
        <v>30.5</v>
      </c>
      <c r="O21" s="139">
        <v>30.5</v>
      </c>
      <c r="P21" s="206"/>
      <c r="Q21" s="148">
        <f t="shared" ref="Q21" si="15">B21/B$4</f>
        <v>7.1403932390479485E-2</v>
      </c>
      <c r="R21" s="149">
        <f t="shared" ref="R21" si="16">C21/C$4</f>
        <v>7.23446234791187E-2</v>
      </c>
      <c r="S21" s="149">
        <f t="shared" ref="S21" si="17">D21/D$4</f>
        <v>9.2604298356510753E-2</v>
      </c>
      <c r="T21" s="149">
        <f t="shared" ref="T21" si="18">E21/E$4</f>
        <v>9.2401215805471115E-2</v>
      </c>
      <c r="U21" s="149">
        <f t="shared" ref="U21" si="19">F21/F$4</f>
        <v>8.9725036179450074E-2</v>
      </c>
      <c r="V21" s="147">
        <f t="shared" ref="V21:V25" si="20">AVERAGE(Q21:U21)</f>
        <v>8.3695821242206023E-2</v>
      </c>
      <c r="W21" s="71">
        <v>7.0000000000000007E-2</v>
      </c>
      <c r="X21" s="74">
        <v>6.5000000000000002E-2</v>
      </c>
      <c r="Y21" s="74">
        <v>6.3E-2</v>
      </c>
      <c r="Z21" s="71">
        <v>0.06</v>
      </c>
      <c r="AA21" s="74">
        <v>5.5E-2</v>
      </c>
    </row>
    <row r="22" spans="1:27" x14ac:dyDescent="0.25">
      <c r="A22" s="13" t="s">
        <v>22</v>
      </c>
      <c r="B22" s="22">
        <v>6.3</v>
      </c>
      <c r="C22" s="22">
        <v>5.0999999999999996</v>
      </c>
      <c r="D22" s="22">
        <v>4.9000000000000004</v>
      </c>
      <c r="E22" s="22">
        <v>5</v>
      </c>
      <c r="F22" s="22">
        <v>4.9000000000000004</v>
      </c>
      <c r="G22" s="187">
        <v>4.7942352398128847</v>
      </c>
      <c r="H22" s="139">
        <v>4.8</v>
      </c>
      <c r="I22" s="139">
        <v>4.5974445624928659</v>
      </c>
      <c r="J22" s="139">
        <v>4.7</v>
      </c>
      <c r="K22" s="139">
        <v>4.7</v>
      </c>
      <c r="L22" s="139">
        <v>4.7</v>
      </c>
      <c r="M22" s="139">
        <v>4.7000000000000011</v>
      </c>
      <c r="N22" s="139">
        <v>4.7</v>
      </c>
      <c r="O22" s="139">
        <v>4.7</v>
      </c>
      <c r="P22" s="207"/>
      <c r="Q22" s="148">
        <f>B22/B$4</f>
        <v>2.1731631597102449E-2</v>
      </c>
      <c r="R22" s="149">
        <f t="shared" ref="R22:U22" si="21">C22/C$4</f>
        <v>1.6770799079250245E-2</v>
      </c>
      <c r="S22" s="149">
        <f t="shared" si="21"/>
        <v>1.5486725663716816E-2</v>
      </c>
      <c r="T22" s="149">
        <f t="shared" si="21"/>
        <v>1.5197568389057751E-2</v>
      </c>
      <c r="U22" s="149">
        <f t="shared" si="21"/>
        <v>1.418234442836469E-2</v>
      </c>
      <c r="V22" s="147">
        <f t="shared" si="20"/>
        <v>1.667381383149839E-2</v>
      </c>
    </row>
    <row r="23" spans="1:27" x14ac:dyDescent="0.25">
      <c r="A23" s="11" t="s">
        <v>0</v>
      </c>
      <c r="B23" s="24">
        <v>30.6</v>
      </c>
      <c r="C23" s="24">
        <v>31.320799999999998</v>
      </c>
      <c r="D23" s="24">
        <v>37.46399999999997</v>
      </c>
      <c r="E23" s="24">
        <v>36.924999999999962</v>
      </c>
      <c r="F23" s="24">
        <v>36.274499999999975</v>
      </c>
      <c r="G23" s="135">
        <f t="shared" ref="G23:O23" si="22">G20+G21+G22</f>
        <v>38.865703904328477</v>
      </c>
      <c r="H23" s="135">
        <f t="shared" si="22"/>
        <v>38.384435847741372</v>
      </c>
      <c r="I23" s="135">
        <f t="shared" si="22"/>
        <v>38.983738765121309</v>
      </c>
      <c r="J23" s="135">
        <f t="shared" si="22"/>
        <v>38.755608912759868</v>
      </c>
      <c r="K23" s="135">
        <f t="shared" si="22"/>
        <v>37.985929894277263</v>
      </c>
      <c r="L23" s="135">
        <f t="shared" si="22"/>
        <v>39.082724932733775</v>
      </c>
      <c r="M23" s="135">
        <f t="shared" si="22"/>
        <v>39.238033930043123</v>
      </c>
      <c r="N23" s="135">
        <f t="shared" si="22"/>
        <v>39.399555287244851</v>
      </c>
      <c r="O23" s="135">
        <f t="shared" si="22"/>
        <v>39.567537498734644</v>
      </c>
      <c r="P23" s="174"/>
      <c r="Q23" s="150"/>
      <c r="R23" s="151"/>
      <c r="S23" s="151"/>
      <c r="T23" s="151"/>
      <c r="U23" s="151"/>
      <c r="V23" s="147"/>
    </row>
    <row r="24" spans="1:27" x14ac:dyDescent="0.25">
      <c r="A24" s="11" t="s">
        <v>12</v>
      </c>
      <c r="B24" s="24">
        <v>3.1</v>
      </c>
      <c r="C24" s="24">
        <v>5.1492000000000004</v>
      </c>
      <c r="D24" s="24">
        <v>7.2459999999999996</v>
      </c>
      <c r="E24" s="24">
        <v>9.1649999999999991</v>
      </c>
      <c r="F24" s="24">
        <v>11.165499999999998</v>
      </c>
      <c r="G24" s="24">
        <f t="shared" ref="G24:O24" si="23">G4*$V$24</f>
        <v>8.0319397853958776</v>
      </c>
      <c r="H24" s="24">
        <f t="shared" si="23"/>
        <v>8.4335367746656722</v>
      </c>
      <c r="I24" s="24">
        <f t="shared" si="23"/>
        <v>8.8552136133989556</v>
      </c>
      <c r="J24" s="24">
        <f t="shared" si="23"/>
        <v>9.2979742940689043</v>
      </c>
      <c r="K24" s="24">
        <f t="shared" si="23"/>
        <v>9.762873008772349</v>
      </c>
      <c r="L24" s="24">
        <f t="shared" si="23"/>
        <v>10.153387929123245</v>
      </c>
      <c r="M24" s="24">
        <f t="shared" si="23"/>
        <v>10.559523446288173</v>
      </c>
      <c r="N24" s="24">
        <f t="shared" si="23"/>
        <v>10.981904384139701</v>
      </c>
      <c r="O24" s="24">
        <f t="shared" si="23"/>
        <v>11.421180559505288</v>
      </c>
      <c r="P24" s="206"/>
      <c r="Q24" s="148">
        <f>B24/B$4</f>
        <v>1.0693342531907556E-2</v>
      </c>
      <c r="R24" s="149">
        <f t="shared" ref="R24:U25" si="24">C24/C$4</f>
        <v>1.6932587964485366E-2</v>
      </c>
      <c r="S24" s="149">
        <f t="shared" si="24"/>
        <v>2.2901390644753477E-2</v>
      </c>
      <c r="T24" s="149">
        <f t="shared" si="24"/>
        <v>2.7857142857142855E-2</v>
      </c>
      <c r="U24" s="149">
        <f t="shared" si="24"/>
        <v>3.2316931982633856E-2</v>
      </c>
      <c r="V24" s="147">
        <f t="shared" si="20"/>
        <v>2.2140279196184623E-2</v>
      </c>
    </row>
    <row r="25" spans="1:27" x14ac:dyDescent="0.25">
      <c r="A25" s="13" t="s">
        <v>18</v>
      </c>
      <c r="B25" s="25">
        <v>45</v>
      </c>
      <c r="C25" s="25">
        <v>47.1</v>
      </c>
      <c r="D25" s="25">
        <v>47.3</v>
      </c>
      <c r="E25" s="25">
        <v>47.6</v>
      </c>
      <c r="F25" s="25">
        <v>47.2</v>
      </c>
      <c r="G25" s="24">
        <f t="shared" ref="G25:O25" si="25">G4*$V$25</f>
        <v>53.755852039213401</v>
      </c>
      <c r="H25" s="24">
        <f t="shared" si="25"/>
        <v>56.443644641174068</v>
      </c>
      <c r="I25" s="24">
        <f t="shared" si="25"/>
        <v>59.265826873232783</v>
      </c>
      <c r="J25" s="24">
        <f t="shared" si="25"/>
        <v>62.22911821689442</v>
      </c>
      <c r="K25" s="24">
        <f t="shared" si="25"/>
        <v>65.340574127739146</v>
      </c>
      <c r="L25" s="24">
        <f t="shared" si="25"/>
        <v>67.954197092848716</v>
      </c>
      <c r="M25" s="24">
        <f t="shared" si="25"/>
        <v>70.672364976562662</v>
      </c>
      <c r="N25" s="24">
        <f t="shared" si="25"/>
        <v>73.499259575625175</v>
      </c>
      <c r="O25" s="24">
        <f t="shared" si="25"/>
        <v>76.439229958650174</v>
      </c>
      <c r="P25" s="174"/>
      <c r="Q25" s="148">
        <f t="shared" ref="Q25" si="26">B25/B$4</f>
        <v>0.15522593997930323</v>
      </c>
      <c r="R25" s="149">
        <f t="shared" si="24"/>
        <v>0.15488326208484052</v>
      </c>
      <c r="S25" s="149">
        <f t="shared" si="24"/>
        <v>0.14949431099873578</v>
      </c>
      <c r="T25" s="149">
        <f t="shared" si="24"/>
        <v>0.1446808510638298</v>
      </c>
      <c r="U25" s="149">
        <f t="shared" si="24"/>
        <v>0.13661360347322721</v>
      </c>
      <c r="V25" s="147">
        <f t="shared" si="20"/>
        <v>0.1481795935199873</v>
      </c>
    </row>
    <row r="26" spans="1:27" x14ac:dyDescent="0.25">
      <c r="A26" s="11" t="s">
        <v>1</v>
      </c>
      <c r="B26" s="26">
        <v>78.7</v>
      </c>
      <c r="C26" s="26">
        <v>83.57</v>
      </c>
      <c r="D26" s="26">
        <v>92.009999999999962</v>
      </c>
      <c r="E26" s="26">
        <v>93.689999999999969</v>
      </c>
      <c r="F26" s="26">
        <v>94.639999999999972</v>
      </c>
      <c r="G26" s="135">
        <f>G23+G24+G25</f>
        <v>100.65349572893776</v>
      </c>
      <c r="H26" s="135">
        <f t="shared" ref="H26:O26" si="27">H23+H24+H25</f>
        <v>103.26161726358112</v>
      </c>
      <c r="I26" s="135">
        <f t="shared" si="27"/>
        <v>107.10477925175304</v>
      </c>
      <c r="J26" s="135">
        <f t="shared" si="27"/>
        <v>110.2827014237232</v>
      </c>
      <c r="K26" s="135">
        <f t="shared" si="27"/>
        <v>113.08937703078875</v>
      </c>
      <c r="L26" s="135">
        <f t="shared" si="27"/>
        <v>117.19030995470574</v>
      </c>
      <c r="M26" s="135">
        <f t="shared" si="27"/>
        <v>120.46992235289396</v>
      </c>
      <c r="N26" s="135">
        <f t="shared" si="27"/>
        <v>123.88071924700972</v>
      </c>
      <c r="O26" s="135">
        <f t="shared" si="27"/>
        <v>127.4279480168901</v>
      </c>
      <c r="P26" s="174"/>
      <c r="Q26" s="150"/>
      <c r="R26" s="151"/>
      <c r="S26" s="151"/>
      <c r="T26" s="151"/>
      <c r="U26" s="151"/>
      <c r="V26" s="152"/>
    </row>
    <row r="27" spans="1:27" x14ac:dyDescent="0.25">
      <c r="A27" s="11"/>
      <c r="B27" s="40"/>
      <c r="C27" s="40"/>
      <c r="D27" s="40"/>
      <c r="E27" s="40"/>
      <c r="F27" s="40"/>
      <c r="G27" s="5"/>
      <c r="H27" s="5"/>
      <c r="I27" s="31"/>
      <c r="J27" s="31"/>
      <c r="K27" s="31"/>
      <c r="L27" s="31"/>
      <c r="M27" s="31"/>
      <c r="N27" s="5"/>
      <c r="O27" s="5"/>
      <c r="P27" s="174"/>
      <c r="Q27" s="150"/>
      <c r="R27" s="151"/>
      <c r="S27" s="151"/>
      <c r="T27" s="151"/>
      <c r="U27" s="151"/>
      <c r="V27" s="152"/>
    </row>
    <row r="28" spans="1:27" x14ac:dyDescent="0.25">
      <c r="A28" s="11" t="s">
        <v>9</v>
      </c>
      <c r="B28" s="24">
        <v>5.6</v>
      </c>
      <c r="C28" s="24">
        <v>5.3</v>
      </c>
      <c r="D28" s="24">
        <v>7.6</v>
      </c>
      <c r="E28" s="24">
        <v>8.9</v>
      </c>
      <c r="F28" s="24">
        <v>10.4</v>
      </c>
      <c r="G28" s="133">
        <v>10.4</v>
      </c>
      <c r="H28" s="133">
        <v>10.4</v>
      </c>
      <c r="I28" s="188">
        <v>10.4</v>
      </c>
      <c r="J28" s="133">
        <v>10.002555437487937</v>
      </c>
      <c r="K28" s="133">
        <v>10</v>
      </c>
      <c r="L28" s="133">
        <v>9.977357992923249</v>
      </c>
      <c r="M28" s="133">
        <v>8.9684523126727793</v>
      </c>
      <c r="N28" s="133">
        <v>7.9191904051774813</v>
      </c>
      <c r="O28" s="133">
        <v>6.8279580213798159</v>
      </c>
      <c r="P28" s="205"/>
      <c r="Q28" s="148">
        <f>B28/B5</f>
        <v>2.1588280647648419E-2</v>
      </c>
      <c r="R28" s="149">
        <f>C28/C5</f>
        <v>1.9406810692054192E-2</v>
      </c>
      <c r="S28" s="149">
        <f>D28/D5</f>
        <v>2.6751143963393169E-2</v>
      </c>
      <c r="T28" s="149">
        <f>E28/E5</f>
        <v>3.0138841855739926E-2</v>
      </c>
      <c r="U28" s="149">
        <f>F28/F5</f>
        <v>3.3505154639175264E-2</v>
      </c>
      <c r="V28" s="147">
        <f t="shared" ref="V28" si="28">AVERAGE(Q28:U28)</f>
        <v>2.6278046359602191E-2</v>
      </c>
    </row>
    <row r="29" spans="1:27" s="2" customFormat="1" x14ac:dyDescent="0.25">
      <c r="A29" s="13" t="s">
        <v>124</v>
      </c>
      <c r="B29" s="25">
        <v>0</v>
      </c>
      <c r="C29" s="25">
        <v>0</v>
      </c>
      <c r="D29" s="25">
        <v>4</v>
      </c>
      <c r="E29" s="25">
        <v>2.5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174"/>
      <c r="Q29" s="153"/>
      <c r="R29" s="154"/>
      <c r="S29" s="154"/>
      <c r="T29" s="154"/>
      <c r="U29" s="154"/>
      <c r="V29" s="155"/>
    </row>
    <row r="30" spans="1:27" x14ac:dyDescent="0.25">
      <c r="A30" s="11" t="s">
        <v>6</v>
      </c>
      <c r="B30" s="24">
        <v>5.6</v>
      </c>
      <c r="C30" s="24">
        <v>5.3</v>
      </c>
      <c r="D30" s="24">
        <v>11.6</v>
      </c>
      <c r="E30" s="24">
        <v>11.4</v>
      </c>
      <c r="F30" s="24">
        <v>10.4</v>
      </c>
      <c r="G30" s="165">
        <f>SUM(G28:G29)</f>
        <v>10.4</v>
      </c>
      <c r="H30" s="165">
        <f t="shared" ref="H30:O30" si="29">SUM(H28:H29)</f>
        <v>10.4</v>
      </c>
      <c r="I30" s="165">
        <f t="shared" si="29"/>
        <v>10.4</v>
      </c>
      <c r="J30" s="165">
        <f t="shared" si="29"/>
        <v>10.002555437487937</v>
      </c>
      <c r="K30" s="165">
        <f t="shared" si="29"/>
        <v>10</v>
      </c>
      <c r="L30" s="165">
        <f t="shared" si="29"/>
        <v>9.977357992923249</v>
      </c>
      <c r="M30" s="165">
        <f t="shared" si="29"/>
        <v>8.9684523126727793</v>
      </c>
      <c r="N30" s="165">
        <f t="shared" si="29"/>
        <v>7.9191904051774813</v>
      </c>
      <c r="O30" s="165">
        <f t="shared" si="29"/>
        <v>6.8279580213798159</v>
      </c>
      <c r="P30" s="174"/>
      <c r="Q30" s="150"/>
      <c r="R30" s="151"/>
      <c r="S30" s="151"/>
      <c r="T30" s="151"/>
      <c r="U30" s="151"/>
      <c r="V30" s="152"/>
    </row>
    <row r="31" spans="1:27" x14ac:dyDescent="0.25">
      <c r="A31" s="11" t="s">
        <v>59</v>
      </c>
      <c r="B31" s="24">
        <v>13.9</v>
      </c>
      <c r="C31" s="24">
        <v>13.9</v>
      </c>
      <c r="D31" s="24">
        <v>15</v>
      </c>
      <c r="E31" s="24">
        <v>15.3</v>
      </c>
      <c r="F31" s="24">
        <v>15.5</v>
      </c>
      <c r="G31" s="138">
        <f>G5*$V$31</f>
        <v>16.864557489403943</v>
      </c>
      <c r="H31" s="138">
        <f t="shared" ref="H31:O31" si="30">H5*$V$31</f>
        <v>17.707785363874137</v>
      </c>
      <c r="I31" s="138">
        <f t="shared" si="30"/>
        <v>18.593174632067846</v>
      </c>
      <c r="J31" s="138">
        <f t="shared" si="30"/>
        <v>19.522833363671243</v>
      </c>
      <c r="K31" s="138">
        <f t="shared" si="30"/>
        <v>20.498975031854805</v>
      </c>
      <c r="L31" s="138">
        <f t="shared" si="30"/>
        <v>21.318934033128997</v>
      </c>
      <c r="M31" s="138">
        <f t="shared" si="30"/>
        <v>22.171691394454157</v>
      </c>
      <c r="N31" s="138">
        <f t="shared" si="30"/>
        <v>23.058559050232322</v>
      </c>
      <c r="O31" s="138">
        <f t="shared" si="30"/>
        <v>23.980901412241614</v>
      </c>
      <c r="P31" s="205"/>
      <c r="Q31" s="148">
        <f>B31/B5</f>
        <v>5.3585196607555903E-2</v>
      </c>
      <c r="R31" s="149">
        <f>C31/C5</f>
        <v>5.0897107286708161E-2</v>
      </c>
      <c r="S31" s="149">
        <f>D31/D5</f>
        <v>5.2798310454065467E-2</v>
      </c>
      <c r="T31" s="149">
        <f>E31/E5</f>
        <v>5.1811716898069758E-2</v>
      </c>
      <c r="U31" s="149">
        <f>F31/F5</f>
        <v>4.9935567010309281E-2</v>
      </c>
      <c r="V31" s="147">
        <f t="shared" ref="V31:V32" si="31">AVERAGE(Q31:U31)</f>
        <v>5.1805579651341714E-2</v>
      </c>
    </row>
    <row r="32" spans="1:27" ht="12.6" thickBot="1" x14ac:dyDescent="0.3">
      <c r="A32" s="11" t="s">
        <v>44</v>
      </c>
      <c r="B32" s="24">
        <v>16.600000000000001</v>
      </c>
      <c r="C32" s="24">
        <v>17.5</v>
      </c>
      <c r="D32" s="24">
        <v>17</v>
      </c>
      <c r="E32" s="24">
        <v>17.3</v>
      </c>
      <c r="F32" s="24">
        <v>17.899999999999999</v>
      </c>
      <c r="G32" s="138">
        <f>G5*$V$32</f>
        <v>19.803175094235986</v>
      </c>
      <c r="H32" s="138">
        <f t="shared" ref="H32:O32" si="32">H5*$V$32</f>
        <v>20.793333848947785</v>
      </c>
      <c r="I32" s="138">
        <f t="shared" si="32"/>
        <v>21.833000541395176</v>
      </c>
      <c r="J32" s="138">
        <f t="shared" si="32"/>
        <v>22.924650568464937</v>
      </c>
      <c r="K32" s="138">
        <f t="shared" si="32"/>
        <v>24.070883096888185</v>
      </c>
      <c r="L32" s="138">
        <f t="shared" si="32"/>
        <v>25.033718420763712</v>
      </c>
      <c r="M32" s="138">
        <f t="shared" si="32"/>
        <v>26.035067157594263</v>
      </c>
      <c r="N32" s="138">
        <f t="shared" si="32"/>
        <v>27.076469843898032</v>
      </c>
      <c r="O32" s="138">
        <f t="shared" si="32"/>
        <v>28.159528637653953</v>
      </c>
      <c r="P32" s="205"/>
      <c r="Q32" s="156">
        <f>B32/B5</f>
        <v>6.3993831919814975E-2</v>
      </c>
      <c r="R32" s="157">
        <f>C32/C5</f>
        <v>6.4079091907726107E-2</v>
      </c>
      <c r="S32" s="157">
        <f>D32/D5</f>
        <v>5.9838085181274196E-2</v>
      </c>
      <c r="T32" s="157">
        <f>E32/E5</f>
        <v>5.8584490348797834E-2</v>
      </c>
      <c r="U32" s="157">
        <f>F32/F5</f>
        <v>5.7667525773195873E-2</v>
      </c>
      <c r="V32" s="158">
        <f t="shared" si="31"/>
        <v>6.08326050261618E-2</v>
      </c>
    </row>
    <row r="33" spans="1:19" x14ac:dyDescent="0.25">
      <c r="A33" s="27" t="s">
        <v>10</v>
      </c>
      <c r="B33" s="28">
        <v>36.1</v>
      </c>
      <c r="C33" s="28">
        <v>36.700000000000003</v>
      </c>
      <c r="D33" s="28">
        <v>43.6</v>
      </c>
      <c r="E33" s="28">
        <v>44</v>
      </c>
      <c r="F33" s="28">
        <v>43.8</v>
      </c>
      <c r="G33" s="165">
        <f>SUM(G30:G32)</f>
        <v>47.067732583639923</v>
      </c>
      <c r="H33" s="165">
        <f t="shared" ref="H33:O33" si="33">SUM(H30:H32)</f>
        <v>48.901119212821925</v>
      </c>
      <c r="I33" s="165">
        <f t="shared" si="33"/>
        <v>50.826175173463028</v>
      </c>
      <c r="J33" s="165">
        <f t="shared" si="33"/>
        <v>52.450039369624122</v>
      </c>
      <c r="K33" s="165">
        <f t="shared" si="33"/>
        <v>54.569858128742993</v>
      </c>
      <c r="L33" s="165">
        <f t="shared" si="33"/>
        <v>56.330010446815962</v>
      </c>
      <c r="M33" s="165">
        <f t="shared" si="33"/>
        <v>57.175210864721201</v>
      </c>
      <c r="N33" s="165">
        <f t="shared" si="33"/>
        <v>58.054219299307832</v>
      </c>
      <c r="O33" s="165">
        <f t="shared" si="33"/>
        <v>58.968388071275385</v>
      </c>
      <c r="P33" s="174"/>
      <c r="Q33" s="5"/>
      <c r="R33" s="5"/>
      <c r="S33" s="5"/>
    </row>
    <row r="34" spans="1:19" x14ac:dyDescent="0.25">
      <c r="A34" s="10" t="s">
        <v>57</v>
      </c>
      <c r="B34" s="24">
        <v>42.6</v>
      </c>
      <c r="C34" s="24">
        <v>46.870000000000005</v>
      </c>
      <c r="D34" s="24">
        <v>48.409999999999975</v>
      </c>
      <c r="E34" s="24">
        <v>49.689999999999969</v>
      </c>
      <c r="F34" s="24">
        <v>50.839999999999989</v>
      </c>
      <c r="G34" s="138">
        <f t="shared" ref="G34:O34" si="34">F34+G14</f>
        <v>53.577056249999991</v>
      </c>
      <c r="H34" s="138">
        <f t="shared" si="34"/>
        <v>57.728934999999993</v>
      </c>
      <c r="I34" s="138">
        <f t="shared" si="34"/>
        <v>63.428275859374992</v>
      </c>
      <c r="J34" s="138">
        <f t="shared" si="34"/>
        <v>70.817445342187497</v>
      </c>
      <c r="K34" s="138">
        <f t="shared" si="34"/>
        <v>78.616073299140623</v>
      </c>
      <c r="L34" s="138">
        <f t="shared" si="34"/>
        <v>86.758646374371878</v>
      </c>
      <c r="M34" s="138">
        <f t="shared" si="34"/>
        <v>95.258922372612375</v>
      </c>
      <c r="N34" s="138">
        <f t="shared" si="34"/>
        <v>104.1312094107825</v>
      </c>
      <c r="O34" s="138">
        <f t="shared" si="34"/>
        <v>113.39038793047943</v>
      </c>
      <c r="P34" s="208"/>
      <c r="Q34" s="33"/>
      <c r="R34" s="33"/>
      <c r="S34" s="33"/>
    </row>
    <row r="35" spans="1:19" x14ac:dyDescent="0.25">
      <c r="A35" s="16" t="s">
        <v>2</v>
      </c>
      <c r="B35" s="29">
        <v>78.7</v>
      </c>
      <c r="C35" s="29">
        <v>83.570000000000007</v>
      </c>
      <c r="D35" s="29">
        <v>92.009999999999977</v>
      </c>
      <c r="E35" s="29">
        <v>93.689999999999969</v>
      </c>
      <c r="F35" s="29">
        <v>94.639999999999986</v>
      </c>
      <c r="G35" s="143">
        <f>SUM(G33:G34)</f>
        <v>100.64478883363992</v>
      </c>
      <c r="H35" s="143">
        <f t="shared" ref="H35:O35" si="35">SUM(H33:H34)</f>
        <v>106.63005421282192</v>
      </c>
      <c r="I35" s="143">
        <f t="shared" si="35"/>
        <v>114.25445103283802</v>
      </c>
      <c r="J35" s="143">
        <f t="shared" si="35"/>
        <v>123.26748471181162</v>
      </c>
      <c r="K35" s="143">
        <f t="shared" si="35"/>
        <v>133.18593142788362</v>
      </c>
      <c r="L35" s="143">
        <f t="shared" si="35"/>
        <v>143.08865682118784</v>
      </c>
      <c r="M35" s="143">
        <f t="shared" si="35"/>
        <v>152.43413323733358</v>
      </c>
      <c r="N35" s="143">
        <f t="shared" si="35"/>
        <v>162.18542871009032</v>
      </c>
      <c r="O35" s="143">
        <f t="shared" si="35"/>
        <v>172.35877600175482</v>
      </c>
      <c r="P35" s="174"/>
      <c r="Q35" s="5"/>
      <c r="R35" s="5"/>
      <c r="S35" s="5"/>
    </row>
    <row r="36" spans="1:19" x14ac:dyDescent="0.25">
      <c r="A36" s="14"/>
      <c r="B36" s="24"/>
      <c r="C36" s="24"/>
      <c r="D36" s="24"/>
      <c r="E36" s="24"/>
      <c r="F36" s="24"/>
      <c r="G36" s="5"/>
      <c r="H36" s="185"/>
      <c r="I36" s="185"/>
      <c r="J36" s="186"/>
      <c r="K36" s="185"/>
      <c r="L36" s="185"/>
      <c r="M36" s="185"/>
      <c r="N36" s="185"/>
      <c r="O36" s="185"/>
      <c r="P36" s="174"/>
      <c r="Q36" s="5"/>
      <c r="R36" s="5"/>
      <c r="S36" s="5"/>
    </row>
    <row r="37" spans="1:19" x14ac:dyDescent="0.25">
      <c r="A37" s="14" t="s">
        <v>127</v>
      </c>
      <c r="B37" s="24"/>
      <c r="C37" s="24"/>
      <c r="D37" s="24"/>
      <c r="E37" s="24"/>
      <c r="F37" s="24"/>
      <c r="G37" s="184">
        <f>(G21+G22-G28)/G4</f>
        <v>6.9999959313108359E-2</v>
      </c>
      <c r="H37" s="184">
        <f t="shared" ref="H37:O37" si="36">(H21+H22-H28)/H4</f>
        <v>6.5000000000000016E-2</v>
      </c>
      <c r="I37" s="184">
        <f t="shared" si="36"/>
        <v>6.2999999999982154E-2</v>
      </c>
      <c r="J37" s="184">
        <f t="shared" si="36"/>
        <v>6.0000000000028718E-2</v>
      </c>
      <c r="K37" s="184">
        <f t="shared" si="36"/>
        <v>5.5000000327636731E-2</v>
      </c>
      <c r="L37" s="184">
        <f t="shared" si="36"/>
        <v>5.5000000000031066E-2</v>
      </c>
      <c r="M37" s="184">
        <f t="shared" si="36"/>
        <v>5.4999999999962704E-2</v>
      </c>
      <c r="N37" s="184">
        <f t="shared" si="36"/>
        <v>5.4999999999967165E-2</v>
      </c>
      <c r="O37" s="184">
        <f t="shared" si="36"/>
        <v>5.4999999999976408E-2</v>
      </c>
      <c r="P37" s="174"/>
      <c r="Q37" s="5"/>
      <c r="R37" s="5"/>
      <c r="S37" s="5"/>
    </row>
    <row r="38" spans="1:19" x14ac:dyDescent="0.25">
      <c r="B38" s="7"/>
      <c r="C38" s="7"/>
      <c r="D38" s="7"/>
      <c r="E38" s="7"/>
      <c r="F38" s="7"/>
      <c r="H38" s="5"/>
      <c r="I38" s="5"/>
      <c r="J38" s="5"/>
      <c r="K38" s="5" t="s">
        <v>95</v>
      </c>
      <c r="L38" s="5"/>
      <c r="M38" s="5"/>
      <c r="N38" s="5"/>
      <c r="O38" s="5"/>
      <c r="P38" s="174"/>
      <c r="Q38" s="5"/>
      <c r="R38" s="5"/>
      <c r="S38" s="5"/>
    </row>
    <row r="39" spans="1:19" x14ac:dyDescent="0.25">
      <c r="B39" s="75" t="s">
        <v>81</v>
      </c>
      <c r="C39" s="75"/>
      <c r="D39" s="75" t="s">
        <v>82</v>
      </c>
    </row>
    <row r="40" spans="1:19" x14ac:dyDescent="0.25">
      <c r="A40" s="5" t="s">
        <v>79</v>
      </c>
      <c r="B40" s="71">
        <v>0.05</v>
      </c>
      <c r="D40" s="71">
        <v>0.04</v>
      </c>
      <c r="K40" s="1" t="s">
        <v>96</v>
      </c>
      <c r="O40" s="1">
        <v>2015</v>
      </c>
      <c r="P40" s="173">
        <v>2016</v>
      </c>
      <c r="Q40" s="1">
        <v>2017</v>
      </c>
      <c r="R40" s="1" t="s">
        <v>98</v>
      </c>
    </row>
    <row r="41" spans="1:19" x14ac:dyDescent="0.25">
      <c r="B41" s="75">
        <v>15</v>
      </c>
      <c r="C41" s="75">
        <v>16</v>
      </c>
      <c r="D41" s="75">
        <v>17</v>
      </c>
      <c r="E41" s="75" t="s">
        <v>82</v>
      </c>
      <c r="L41" s="1" t="s">
        <v>97</v>
      </c>
      <c r="O41" s="71">
        <v>7.0000000000000007E-2</v>
      </c>
      <c r="P41" s="180">
        <v>7.0000000000000007E-2</v>
      </c>
      <c r="Q41" s="71">
        <v>7.0000000000000007E-2</v>
      </c>
      <c r="R41" s="74">
        <v>6.5000000000000002E-2</v>
      </c>
    </row>
    <row r="42" spans="1:19" x14ac:dyDescent="0.25">
      <c r="A42" s="5" t="s">
        <v>80</v>
      </c>
      <c r="B42" s="74">
        <v>1.4999999999999999E-2</v>
      </c>
      <c r="C42" s="71">
        <v>0.02</v>
      </c>
      <c r="D42" s="74">
        <v>2.5000000000000001E-2</v>
      </c>
      <c r="E42" s="71">
        <v>0.03</v>
      </c>
    </row>
    <row r="43" spans="1:19" x14ac:dyDescent="0.25">
      <c r="B43" s="75">
        <v>15</v>
      </c>
      <c r="C43" s="75">
        <v>16</v>
      </c>
      <c r="D43" s="75">
        <v>17</v>
      </c>
      <c r="E43" s="75">
        <v>18</v>
      </c>
      <c r="F43" s="75" t="s">
        <v>82</v>
      </c>
      <c r="L43" s="1" t="s">
        <v>99</v>
      </c>
    </row>
    <row r="44" spans="1:19" x14ac:dyDescent="0.25">
      <c r="A44" s="5" t="s">
        <v>83</v>
      </c>
      <c r="B44" s="71">
        <v>7.0000000000000007E-2</v>
      </c>
      <c r="C44" s="74">
        <v>6.5000000000000002E-2</v>
      </c>
      <c r="D44" s="74">
        <v>6.3E-2</v>
      </c>
      <c r="E44" s="71">
        <v>0.06</v>
      </c>
      <c r="F44" s="74">
        <v>5.5E-2</v>
      </c>
    </row>
    <row r="46" spans="1:19" x14ac:dyDescent="0.25">
      <c r="A46" s="5" t="s">
        <v>84</v>
      </c>
    </row>
    <row r="48" spans="1:19" x14ac:dyDescent="0.25">
      <c r="A48" s="5" t="s">
        <v>85</v>
      </c>
      <c r="B48" s="72"/>
    </row>
    <row r="50" spans="1:2" x14ac:dyDescent="0.25">
      <c r="A50" s="5" t="s">
        <v>86</v>
      </c>
    </row>
    <row r="52" spans="1:2" x14ac:dyDescent="0.25">
      <c r="A52" s="5" t="s">
        <v>94</v>
      </c>
    </row>
    <row r="54" spans="1:2" x14ac:dyDescent="0.25">
      <c r="A54" s="5" t="s">
        <v>71</v>
      </c>
      <c r="B54" s="1">
        <v>5000</v>
      </c>
    </row>
    <row r="55" spans="1:2" x14ac:dyDescent="0.25">
      <c r="A55" s="5" t="s">
        <v>72</v>
      </c>
      <c r="B55" s="1" t="s">
        <v>73</v>
      </c>
    </row>
    <row r="56" spans="1:2" x14ac:dyDescent="0.25">
      <c r="A56" s="5" t="s">
        <v>74</v>
      </c>
      <c r="B56" s="1">
        <v>20</v>
      </c>
    </row>
    <row r="57" spans="1:2" x14ac:dyDescent="0.25">
      <c r="A57" s="5" t="s">
        <v>75</v>
      </c>
      <c r="B57" s="71">
        <v>0.01</v>
      </c>
    </row>
    <row r="58" spans="1:2" x14ac:dyDescent="0.25">
      <c r="A58" s="5" t="s">
        <v>76</v>
      </c>
    </row>
    <row r="59" spans="1:2" x14ac:dyDescent="0.25">
      <c r="A59" s="5" t="s">
        <v>77</v>
      </c>
      <c r="B59" s="72">
        <v>400000</v>
      </c>
    </row>
  </sheetData>
  <mergeCells count="1">
    <mergeCell ref="W18:AA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73"/>
  <sheetViews>
    <sheetView zoomScale="110" zoomScaleNormal="110" workbookViewId="0">
      <pane xSplit="1" ySplit="2" topLeftCell="B38" activePane="bottomRight" state="frozen"/>
      <selection pane="topRight" activeCell="B1" sqref="B1"/>
      <selection pane="bottomLeft" activeCell="A3" sqref="A3"/>
      <selection pane="bottomRight" activeCell="G24" sqref="G24"/>
    </sheetView>
  </sheetViews>
  <sheetFormatPr defaultColWidth="9.109375" defaultRowHeight="12" x14ac:dyDescent="0.25"/>
  <cols>
    <col min="1" max="1" width="28.88671875" style="5" customWidth="1"/>
    <col min="2" max="6" width="6.21875" style="1" customWidth="1"/>
    <col min="7" max="15" width="7.88671875" style="1" customWidth="1"/>
    <col min="16" max="16" width="9.109375" style="173"/>
    <col min="17" max="16384" width="9.109375" style="1"/>
  </cols>
  <sheetData>
    <row r="1" spans="1:23" x14ac:dyDescent="0.25">
      <c r="A1" s="43" t="s">
        <v>70</v>
      </c>
      <c r="B1" s="3"/>
      <c r="C1" s="3"/>
      <c r="D1" s="3"/>
      <c r="E1" s="3"/>
      <c r="F1" s="3"/>
    </row>
    <row r="2" spans="1:23" x14ac:dyDescent="0.25">
      <c r="A2" s="9"/>
      <c r="B2" s="172">
        <v>2010</v>
      </c>
      <c r="C2" s="172">
        <v>2011</v>
      </c>
      <c r="D2" s="172">
        <v>2012</v>
      </c>
      <c r="E2" s="172">
        <v>2013</v>
      </c>
      <c r="F2" s="172">
        <v>2014</v>
      </c>
      <c r="G2" s="169">
        <v>2015</v>
      </c>
      <c r="H2" s="169">
        <v>2016</v>
      </c>
      <c r="I2" s="169">
        <v>2017</v>
      </c>
      <c r="J2" s="169">
        <v>2018</v>
      </c>
      <c r="K2" s="169">
        <v>2019</v>
      </c>
      <c r="L2" s="169">
        <v>2020</v>
      </c>
      <c r="M2" s="169">
        <v>2021</v>
      </c>
      <c r="N2" s="169">
        <v>2022</v>
      </c>
      <c r="O2" s="169">
        <v>2023</v>
      </c>
      <c r="P2" s="174"/>
      <c r="Q2" s="5"/>
    </row>
    <row r="3" spans="1:23" x14ac:dyDescent="0.25">
      <c r="A3" s="18" t="s">
        <v>23</v>
      </c>
      <c r="B3" s="17"/>
      <c r="C3" s="17"/>
      <c r="D3" s="17"/>
      <c r="E3" s="17"/>
      <c r="F3" s="17"/>
      <c r="G3" s="5"/>
      <c r="H3" s="5"/>
      <c r="I3" s="5"/>
      <c r="J3" s="5"/>
      <c r="K3" s="5"/>
      <c r="L3" s="5"/>
      <c r="M3" s="5"/>
      <c r="N3" s="5"/>
      <c r="O3" s="5"/>
      <c r="P3" s="174"/>
      <c r="Q3" s="5"/>
      <c r="R3" s="71"/>
      <c r="S3" s="71"/>
      <c r="T3" s="71"/>
      <c r="U3" s="71"/>
      <c r="V3" s="71"/>
      <c r="W3" s="74"/>
    </row>
    <row r="4" spans="1:23" x14ac:dyDescent="0.25">
      <c r="A4" s="8" t="s">
        <v>3</v>
      </c>
      <c r="B4" s="20">
        <v>137.80000000000001</v>
      </c>
      <c r="C4" s="20">
        <v>143.5</v>
      </c>
      <c r="D4" s="20">
        <v>149.5</v>
      </c>
      <c r="E4" s="20">
        <v>155.30000000000001</v>
      </c>
      <c r="F4" s="20">
        <v>161.9</v>
      </c>
      <c r="G4" s="80">
        <f>F4*0.9</f>
        <v>145.71</v>
      </c>
      <c r="H4" s="80">
        <f t="shared" ref="H4" si="0">G4*0.9</f>
        <v>131.13900000000001</v>
      </c>
      <c r="I4" s="80">
        <f>H4*1.09</f>
        <v>142.94151000000002</v>
      </c>
      <c r="J4" s="80">
        <f t="shared" ref="J4:K4" si="1">I4*1.09</f>
        <v>155.80624590000002</v>
      </c>
      <c r="K4" s="80">
        <f t="shared" si="1"/>
        <v>169.82880803100002</v>
      </c>
      <c r="L4" s="80">
        <f>K4*1.45</f>
        <v>246.25177164495003</v>
      </c>
      <c r="M4" s="80">
        <f t="shared" ref="M4:O4" si="2">L4*1.45</f>
        <v>357.06506888517754</v>
      </c>
      <c r="N4" s="80">
        <f t="shared" si="2"/>
        <v>517.74434988350743</v>
      </c>
      <c r="O4" s="80">
        <f t="shared" si="2"/>
        <v>750.72930733108569</v>
      </c>
      <c r="P4" s="175"/>
      <c r="Q4" s="5"/>
    </row>
    <row r="5" spans="1:23" x14ac:dyDescent="0.25">
      <c r="A5" s="10" t="s">
        <v>11</v>
      </c>
      <c r="B5" s="22">
        <v>126.1</v>
      </c>
      <c r="C5" s="22">
        <v>131.5</v>
      </c>
      <c r="D5" s="22">
        <v>137.1</v>
      </c>
      <c r="E5" s="22">
        <v>142.5</v>
      </c>
      <c r="F5" s="22">
        <v>148.6</v>
      </c>
      <c r="G5" s="80">
        <f>G4-G6</f>
        <v>133.32465000000002</v>
      </c>
      <c r="H5" s="80">
        <f t="shared" ref="H5:O5" si="3">H4-H6</f>
        <v>119.99218500000001</v>
      </c>
      <c r="I5" s="80">
        <f t="shared" si="3"/>
        <v>130.07677410000002</v>
      </c>
      <c r="J5" s="80">
        <f t="shared" si="3"/>
        <v>142.56271499850001</v>
      </c>
      <c r="K5" s="80">
        <f t="shared" si="3"/>
        <v>153.69507126805502</v>
      </c>
      <c r="L5" s="80">
        <f t="shared" si="3"/>
        <v>222.85785333867977</v>
      </c>
      <c r="M5" s="80">
        <f t="shared" si="3"/>
        <v>323.1438873410857</v>
      </c>
      <c r="N5" s="80">
        <f t="shared" si="3"/>
        <v>468.55863664457422</v>
      </c>
      <c r="O5" s="80">
        <f t="shared" si="3"/>
        <v>679.41002313463252</v>
      </c>
      <c r="P5" s="175"/>
      <c r="Q5" s="5"/>
      <c r="R5" s="74"/>
      <c r="S5" s="76"/>
      <c r="T5" s="74"/>
      <c r="U5" s="71"/>
      <c r="V5" s="74"/>
    </row>
    <row r="6" spans="1:23" x14ac:dyDescent="0.25">
      <c r="A6" s="8" t="s">
        <v>15</v>
      </c>
      <c r="B6" s="20">
        <v>11.700000000000017</v>
      </c>
      <c r="C6" s="20">
        <v>12</v>
      </c>
      <c r="D6" s="20">
        <v>12.400000000000006</v>
      </c>
      <c r="E6" s="20">
        <v>12.800000000000011</v>
      </c>
      <c r="F6" s="20">
        <v>13.300000000000011</v>
      </c>
      <c r="G6" s="81">
        <f>G4*0.085</f>
        <v>12.385350000000001</v>
      </c>
      <c r="H6" s="81">
        <f t="shared" ref="H6:J6" si="4">H4*0.085</f>
        <v>11.146815000000002</v>
      </c>
      <c r="I6" s="81">
        <f>I4*0.09</f>
        <v>12.864735900000001</v>
      </c>
      <c r="J6" s="81">
        <f t="shared" si="4"/>
        <v>13.243530901500003</v>
      </c>
      <c r="K6" s="81">
        <f>K4*0.095</f>
        <v>16.133736762945002</v>
      </c>
      <c r="L6" s="81">
        <f t="shared" ref="L6:O6" si="5">L4*0.095</f>
        <v>23.393918306270251</v>
      </c>
      <c r="M6" s="81">
        <f t="shared" si="5"/>
        <v>33.921181544091866</v>
      </c>
      <c r="N6" s="81">
        <f t="shared" si="5"/>
        <v>49.185713238933204</v>
      </c>
      <c r="O6" s="81">
        <f t="shared" si="5"/>
        <v>71.31928419645314</v>
      </c>
      <c r="P6" s="174"/>
      <c r="Q6" s="5"/>
    </row>
    <row r="7" spans="1:23" s="2" customFormat="1" x14ac:dyDescent="0.25">
      <c r="A7" s="11" t="s">
        <v>20</v>
      </c>
      <c r="B7" s="20">
        <v>2.9</v>
      </c>
      <c r="C7" s="20">
        <v>2.9</v>
      </c>
      <c r="D7" s="20">
        <v>2.9</v>
      </c>
      <c r="E7" s="20">
        <v>3</v>
      </c>
      <c r="F7" s="20">
        <v>3</v>
      </c>
      <c r="G7" s="80">
        <f>G4*0.02</f>
        <v>2.9142000000000001</v>
      </c>
      <c r="H7" s="80">
        <f t="shared" ref="H7:O7" si="6">H4*0.02</f>
        <v>2.6227800000000001</v>
      </c>
      <c r="I7" s="80">
        <f t="shared" si="6"/>
        <v>2.8588302000000003</v>
      </c>
      <c r="J7" s="80">
        <f t="shared" si="6"/>
        <v>3.1161249180000006</v>
      </c>
      <c r="K7" s="80">
        <f t="shared" si="6"/>
        <v>3.3965761606200005</v>
      </c>
      <c r="L7" s="80">
        <f t="shared" si="6"/>
        <v>4.9250354328990005</v>
      </c>
      <c r="M7" s="80">
        <f t="shared" si="6"/>
        <v>7.1413013777035506</v>
      </c>
      <c r="N7" s="80">
        <f t="shared" si="6"/>
        <v>10.354886997670148</v>
      </c>
      <c r="O7" s="80">
        <f t="shared" si="6"/>
        <v>15.014586146621713</v>
      </c>
      <c r="P7" s="175"/>
      <c r="Q7" s="5"/>
      <c r="R7" s="1"/>
      <c r="S7" s="1"/>
      <c r="T7" s="1"/>
      <c r="U7" s="1"/>
      <c r="V7" s="1"/>
      <c r="W7" s="1"/>
    </row>
    <row r="8" spans="1:23" x14ac:dyDescent="0.25">
      <c r="A8" s="10" t="s">
        <v>13</v>
      </c>
      <c r="B8" s="22">
        <v>1.8</v>
      </c>
      <c r="C8" s="22">
        <v>2.2000000000000002</v>
      </c>
      <c r="D8" s="22">
        <v>2.5</v>
      </c>
      <c r="E8" s="22">
        <v>2.8</v>
      </c>
      <c r="F8" s="22">
        <v>2.9</v>
      </c>
      <c r="G8" s="84">
        <f>F8+0.2</f>
        <v>3.1</v>
      </c>
      <c r="H8" s="84">
        <f t="shared" ref="H8:O8" si="7">G8+0.2</f>
        <v>3.3000000000000003</v>
      </c>
      <c r="I8" s="84">
        <f t="shared" si="7"/>
        <v>3.5000000000000004</v>
      </c>
      <c r="J8" s="84">
        <f t="shared" si="7"/>
        <v>3.7000000000000006</v>
      </c>
      <c r="K8" s="84">
        <f t="shared" si="7"/>
        <v>3.9000000000000008</v>
      </c>
      <c r="L8" s="84">
        <f t="shared" si="7"/>
        <v>4.1000000000000005</v>
      </c>
      <c r="M8" s="84">
        <f t="shared" si="7"/>
        <v>4.3000000000000007</v>
      </c>
      <c r="N8" s="84">
        <f t="shared" si="7"/>
        <v>4.5000000000000009</v>
      </c>
      <c r="O8" s="84">
        <f t="shared" si="7"/>
        <v>4.7000000000000011</v>
      </c>
      <c r="P8" s="175"/>
      <c r="Q8" s="5"/>
    </row>
    <row r="9" spans="1:23" s="2" customFormat="1" x14ac:dyDescent="0.25">
      <c r="A9" s="11" t="s">
        <v>16</v>
      </c>
      <c r="B9" s="20">
        <v>7.0000000000000169</v>
      </c>
      <c r="C9" s="20">
        <v>6.8999999999999995</v>
      </c>
      <c r="D9" s="20">
        <v>7.0000000000000053</v>
      </c>
      <c r="E9" s="20">
        <v>7.0000000000000115</v>
      </c>
      <c r="F9" s="20">
        <v>7.400000000000011</v>
      </c>
      <c r="G9" s="82">
        <f>G6-SUM(G7:G8)</f>
        <v>6.3711500000000001</v>
      </c>
      <c r="H9" s="82">
        <f t="shared" ref="H9:O9" si="8">H6-SUM(H7:H8)</f>
        <v>5.2240350000000015</v>
      </c>
      <c r="I9" s="82">
        <f t="shared" si="8"/>
        <v>6.5059057000000005</v>
      </c>
      <c r="J9" s="82">
        <f t="shared" si="8"/>
        <v>6.4274059835000017</v>
      </c>
      <c r="K9" s="82">
        <f t="shared" si="8"/>
        <v>8.8371606023250013</v>
      </c>
      <c r="L9" s="82">
        <f t="shared" si="8"/>
        <v>14.36888287337125</v>
      </c>
      <c r="M9" s="82">
        <f t="shared" si="8"/>
        <v>22.479880166388313</v>
      </c>
      <c r="N9" s="82">
        <f t="shared" si="8"/>
        <v>34.330826241263054</v>
      </c>
      <c r="O9" s="82">
        <f t="shared" si="8"/>
        <v>51.604698049831427</v>
      </c>
      <c r="P9" s="174"/>
      <c r="Q9" s="5"/>
      <c r="R9" s="1"/>
      <c r="S9" s="1"/>
      <c r="T9" s="1"/>
      <c r="U9" s="1"/>
      <c r="V9" s="1"/>
      <c r="W9" s="1"/>
    </row>
    <row r="10" spans="1:23" ht="14.4" x14ac:dyDescent="0.25">
      <c r="A10" s="12" t="s">
        <v>60</v>
      </c>
      <c r="B10" s="23">
        <v>0.38699999999999996</v>
      </c>
      <c r="C10" s="23">
        <v>0.36449999999999999</v>
      </c>
      <c r="D10" s="23">
        <v>0.40949999999999998</v>
      </c>
      <c r="E10" s="23">
        <v>0.39150000000000001</v>
      </c>
      <c r="F10" s="23">
        <v>0.3735</v>
      </c>
      <c r="G10" s="83">
        <f>G32*5.5%+$F$10</f>
        <v>7.3747532005244425</v>
      </c>
      <c r="H10" s="83">
        <f t="shared" ref="H10:L10" si="9">H32*5.5%+$F$10</f>
        <v>7.3346278804719987</v>
      </c>
      <c r="I10" s="83">
        <f t="shared" si="9"/>
        <v>7.3649784094428146</v>
      </c>
      <c r="J10" s="83">
        <f t="shared" si="9"/>
        <v>7.4025560347887813</v>
      </c>
      <c r="K10" s="83">
        <f t="shared" si="9"/>
        <v>7.4360599185982448</v>
      </c>
      <c r="L10" s="83">
        <f t="shared" si="9"/>
        <v>7.644211881967454</v>
      </c>
      <c r="M10" s="83">
        <v>0.4</v>
      </c>
      <c r="N10" s="83">
        <v>0.4</v>
      </c>
      <c r="O10" s="83">
        <v>0.4</v>
      </c>
      <c r="P10" s="176"/>
      <c r="Q10" s="5"/>
    </row>
    <row r="11" spans="1:23" x14ac:dyDescent="0.25">
      <c r="A11" s="10" t="s">
        <v>14</v>
      </c>
      <c r="B11" s="22">
        <v>2.3145500000000059</v>
      </c>
      <c r="C11" s="22">
        <v>2.2874249999999998</v>
      </c>
      <c r="D11" s="22">
        <v>2.306675000000002</v>
      </c>
      <c r="E11" s="22">
        <v>2.3129750000000038</v>
      </c>
      <c r="F11" s="22">
        <v>2.4592750000000039</v>
      </c>
      <c r="G11" s="84">
        <f>G9*0.35</f>
        <v>2.2299024999999997</v>
      </c>
      <c r="H11" s="84">
        <f t="shared" ref="H11:O11" si="10">H9*0.35</f>
        <v>1.8284122500000004</v>
      </c>
      <c r="I11" s="84">
        <f t="shared" si="10"/>
        <v>2.2770669950000002</v>
      </c>
      <c r="J11" s="84">
        <f t="shared" si="10"/>
        <v>2.2495920942250005</v>
      </c>
      <c r="K11" s="84">
        <f t="shared" si="10"/>
        <v>3.0930062108137504</v>
      </c>
      <c r="L11" s="84">
        <f t="shared" si="10"/>
        <v>5.0291090056799375</v>
      </c>
      <c r="M11" s="84">
        <f t="shared" si="10"/>
        <v>7.8679580582359092</v>
      </c>
      <c r="N11" s="84">
        <f t="shared" si="10"/>
        <v>12.015789184442069</v>
      </c>
      <c r="O11" s="84">
        <f t="shared" si="10"/>
        <v>18.061644317440997</v>
      </c>
      <c r="P11" s="174"/>
      <c r="Q11" s="5"/>
    </row>
    <row r="12" spans="1:23" x14ac:dyDescent="0.25">
      <c r="A12" s="14" t="s">
        <v>7</v>
      </c>
      <c r="B12" s="20">
        <v>4.2984500000000114</v>
      </c>
      <c r="C12" s="20">
        <v>4.248075</v>
      </c>
      <c r="D12" s="20">
        <v>4.2838250000000038</v>
      </c>
      <c r="E12" s="20">
        <v>4.2955250000000085</v>
      </c>
      <c r="F12" s="20">
        <v>4.5672250000000076</v>
      </c>
      <c r="G12" s="80">
        <f>G9-SUM(G10:G11)</f>
        <v>-3.233505700524443</v>
      </c>
      <c r="H12" s="80">
        <f t="shared" ref="H12:O12" si="11">H9-SUM(H10:H11)</f>
        <v>-3.9390051304719966</v>
      </c>
      <c r="I12" s="80">
        <f t="shared" si="11"/>
        <v>-3.1361397044428143</v>
      </c>
      <c r="J12" s="80">
        <f t="shared" si="11"/>
        <v>-3.2247421455137797</v>
      </c>
      <c r="K12" s="80">
        <f t="shared" si="11"/>
        <v>-1.6919055270869929</v>
      </c>
      <c r="L12" s="80">
        <f t="shared" si="11"/>
        <v>1.6955619857238577</v>
      </c>
      <c r="M12" s="80">
        <f t="shared" si="11"/>
        <v>14.211922108152404</v>
      </c>
      <c r="N12" s="80">
        <f t="shared" si="11"/>
        <v>21.915037056820985</v>
      </c>
      <c r="O12" s="80">
        <f t="shared" si="11"/>
        <v>33.143053732390428</v>
      </c>
      <c r="P12" s="174"/>
      <c r="Q12" s="5"/>
    </row>
    <row r="13" spans="1:23" x14ac:dyDescent="0.25">
      <c r="A13" s="14" t="s">
        <v>30</v>
      </c>
      <c r="B13" s="20">
        <f t="shared" ref="B13:F13" si="12">$B$18*B17</f>
        <v>0.84</v>
      </c>
      <c r="C13" s="20">
        <f t="shared" si="12"/>
        <v>0.84</v>
      </c>
      <c r="D13" s="20">
        <f t="shared" si="12"/>
        <v>0.84</v>
      </c>
      <c r="E13" s="20">
        <f t="shared" si="12"/>
        <v>0.84</v>
      </c>
      <c r="F13" s="20">
        <f t="shared" si="12"/>
        <v>0.84</v>
      </c>
      <c r="G13" s="20">
        <f>$B$18*G17</f>
        <v>0.84</v>
      </c>
      <c r="H13" s="20">
        <f t="shared" ref="H13:O13" si="13">$B$18*H17</f>
        <v>0.84</v>
      </c>
      <c r="I13" s="20">
        <f t="shared" si="13"/>
        <v>0.84</v>
      </c>
      <c r="J13" s="20">
        <f t="shared" si="13"/>
        <v>0.84</v>
      </c>
      <c r="K13" s="20">
        <f t="shared" si="13"/>
        <v>0.84</v>
      </c>
      <c r="L13" s="20">
        <f t="shared" si="13"/>
        <v>0.84</v>
      </c>
      <c r="M13" s="20">
        <f t="shared" si="13"/>
        <v>0.84</v>
      </c>
      <c r="N13" s="20">
        <f t="shared" si="13"/>
        <v>0.84</v>
      </c>
      <c r="O13" s="20">
        <f t="shared" si="13"/>
        <v>0.84</v>
      </c>
      <c r="P13" s="174"/>
      <c r="Q13" s="5"/>
    </row>
    <row r="14" spans="1:23" x14ac:dyDescent="0.25">
      <c r="A14" s="27" t="s">
        <v>121</v>
      </c>
      <c r="B14" s="107">
        <f t="shared" ref="B14:E14" si="14">B12-B13</f>
        <v>3.4584500000000116</v>
      </c>
      <c r="C14" s="107">
        <f t="shared" si="14"/>
        <v>3.4080750000000002</v>
      </c>
      <c r="D14" s="107">
        <f t="shared" si="14"/>
        <v>3.4438250000000039</v>
      </c>
      <c r="E14" s="107">
        <f t="shared" si="14"/>
        <v>3.4555250000000086</v>
      </c>
      <c r="F14" s="107">
        <f>F12-F13</f>
        <v>3.7272250000000078</v>
      </c>
      <c r="G14" s="107">
        <f t="shared" ref="G14:O14" si="15">G12-G13</f>
        <v>-4.0735057005244428</v>
      </c>
      <c r="H14" s="107">
        <f t="shared" si="15"/>
        <v>-4.7790051304719965</v>
      </c>
      <c r="I14" s="107">
        <f t="shared" si="15"/>
        <v>-3.9761397044428142</v>
      </c>
      <c r="J14" s="107">
        <f t="shared" si="15"/>
        <v>-4.0647421455137795</v>
      </c>
      <c r="K14" s="107">
        <f t="shared" si="15"/>
        <v>-2.5319055270869928</v>
      </c>
      <c r="L14" s="107">
        <f t="shared" si="15"/>
        <v>0.85556198572385778</v>
      </c>
      <c r="M14" s="107">
        <f t="shared" si="15"/>
        <v>13.371922108152404</v>
      </c>
      <c r="N14" s="107">
        <f t="shared" si="15"/>
        <v>21.075037056820985</v>
      </c>
      <c r="O14" s="107">
        <f t="shared" si="15"/>
        <v>32.303053732390424</v>
      </c>
      <c r="P14" s="174"/>
      <c r="Q14" s="5"/>
    </row>
    <row r="15" spans="1:23" x14ac:dyDescent="0.25">
      <c r="A15" s="14"/>
      <c r="B15" s="20"/>
      <c r="C15" s="20"/>
      <c r="D15" s="20"/>
      <c r="E15" s="20"/>
      <c r="F15" s="20"/>
      <c r="G15" s="80"/>
      <c r="H15" s="80"/>
      <c r="I15" s="80"/>
      <c r="J15" s="80"/>
      <c r="K15" s="80"/>
      <c r="L15" s="80"/>
      <c r="M15" s="80"/>
      <c r="N15" s="80"/>
      <c r="O15" s="80"/>
      <c r="P15" s="174"/>
      <c r="Q15" s="5"/>
    </row>
    <row r="16" spans="1:23" x14ac:dyDescent="0.25">
      <c r="A16" s="14" t="s">
        <v>29</v>
      </c>
      <c r="B16" s="21">
        <v>1.2281285714285748</v>
      </c>
      <c r="C16" s="21">
        <v>1.2137357142857144</v>
      </c>
      <c r="D16" s="21">
        <v>1.223950000000001</v>
      </c>
      <c r="E16" s="21">
        <v>1.2272928571428596</v>
      </c>
      <c r="F16" s="21">
        <v>1.3049214285714308</v>
      </c>
      <c r="G16" s="109">
        <f>G12/$B$18</f>
        <v>-0.92385877157841223</v>
      </c>
      <c r="H16" s="109">
        <f t="shared" ref="H16:O16" si="16">H12/$B$18</f>
        <v>-1.1254300372777133</v>
      </c>
      <c r="I16" s="109">
        <f t="shared" si="16"/>
        <v>-0.89603991555508977</v>
      </c>
      <c r="J16" s="109">
        <f t="shared" si="16"/>
        <v>-0.92135489871822274</v>
      </c>
      <c r="K16" s="109">
        <f t="shared" si="16"/>
        <v>-0.48340157916771226</v>
      </c>
      <c r="L16" s="109">
        <f t="shared" si="16"/>
        <v>0.48444628163538794</v>
      </c>
      <c r="M16" s="109">
        <f t="shared" si="16"/>
        <v>4.0605491737578294</v>
      </c>
      <c r="N16" s="109">
        <f t="shared" si="16"/>
        <v>6.2614391590917098</v>
      </c>
      <c r="O16" s="109">
        <f t="shared" si="16"/>
        <v>9.4694439235401227</v>
      </c>
      <c r="P16" s="174"/>
      <c r="Q16" s="5"/>
    </row>
    <row r="17" spans="1:22" x14ac:dyDescent="0.25">
      <c r="A17" s="14" t="s">
        <v>30</v>
      </c>
      <c r="B17" s="21">
        <v>0.24</v>
      </c>
      <c r="C17" s="21">
        <v>0.24</v>
      </c>
      <c r="D17" s="21">
        <v>0.24</v>
      </c>
      <c r="E17" s="21">
        <v>0.24</v>
      </c>
      <c r="F17" s="21">
        <v>0.24</v>
      </c>
      <c r="G17" s="21">
        <v>0.24</v>
      </c>
      <c r="H17" s="21">
        <v>0.24</v>
      </c>
      <c r="I17" s="21">
        <v>0.24</v>
      </c>
      <c r="J17" s="21">
        <v>0.24</v>
      </c>
      <c r="K17" s="21">
        <v>0.24</v>
      </c>
      <c r="L17" s="21">
        <v>0.24</v>
      </c>
      <c r="M17" s="21">
        <v>0.24</v>
      </c>
      <c r="N17" s="21">
        <v>0.24</v>
      </c>
      <c r="O17" s="21">
        <v>0.24</v>
      </c>
      <c r="P17" s="174"/>
      <c r="Q17" s="5"/>
    </row>
    <row r="18" spans="1:22" x14ac:dyDescent="0.25">
      <c r="A18" s="1" t="s">
        <v>120</v>
      </c>
      <c r="B18" s="1">
        <v>3.5</v>
      </c>
      <c r="E18" s="21"/>
      <c r="F18" s="21"/>
      <c r="G18" s="105"/>
      <c r="H18" s="105"/>
      <c r="I18" s="5"/>
      <c r="J18" s="5"/>
      <c r="K18" s="5"/>
      <c r="L18" s="5"/>
      <c r="M18" s="5"/>
      <c r="N18" s="5"/>
      <c r="O18" s="5"/>
      <c r="P18" s="174"/>
      <c r="Q18" s="5"/>
    </row>
    <row r="19" spans="1:22" ht="12.6" thickBot="1" x14ac:dyDescent="0.3">
      <c r="A19" s="14"/>
      <c r="B19" s="34"/>
      <c r="C19" s="34"/>
      <c r="D19" s="34"/>
      <c r="E19" s="34"/>
      <c r="F19" s="34"/>
      <c r="G19" s="105"/>
      <c r="H19" s="5"/>
      <c r="I19" s="5"/>
      <c r="J19" s="5"/>
      <c r="K19" s="5"/>
      <c r="L19" s="5"/>
      <c r="M19" s="5"/>
      <c r="N19" s="5"/>
      <c r="O19" s="5"/>
      <c r="P19" s="174"/>
      <c r="Q19" s="5"/>
    </row>
    <row r="20" spans="1:22" ht="12.6" thickBot="1" x14ac:dyDescent="0.3">
      <c r="A20" s="18" t="s">
        <v>24</v>
      </c>
      <c r="B20" s="15"/>
      <c r="C20" s="15"/>
      <c r="D20" s="15"/>
      <c r="E20" s="15"/>
      <c r="F20" s="15"/>
      <c r="G20" s="5"/>
      <c r="H20" s="5"/>
      <c r="I20" s="5"/>
      <c r="J20" s="5"/>
      <c r="K20" s="5"/>
      <c r="L20" s="5"/>
      <c r="M20" s="5"/>
      <c r="N20" s="5"/>
      <c r="O20" s="5"/>
      <c r="P20" s="174"/>
      <c r="Q20" s="113">
        <v>2010</v>
      </c>
      <c r="R20" s="114">
        <v>2011</v>
      </c>
      <c r="S20" s="114">
        <v>2012</v>
      </c>
      <c r="T20" s="114">
        <v>2013</v>
      </c>
      <c r="U20" s="115">
        <v>2014</v>
      </c>
      <c r="V20" s="111" t="s">
        <v>119</v>
      </c>
    </row>
    <row r="21" spans="1:22" s="2" customFormat="1" x14ac:dyDescent="0.25">
      <c r="A21" s="11" t="s">
        <v>21</v>
      </c>
      <c r="B21" s="26">
        <v>1.8</v>
      </c>
      <c r="C21" s="26">
        <v>1.0205749999999973</v>
      </c>
      <c r="D21" s="26">
        <v>1.9269000000000043</v>
      </c>
      <c r="E21" s="26">
        <v>1.4999250000000091</v>
      </c>
      <c r="F21" s="26">
        <v>2.0796500000000187</v>
      </c>
      <c r="G21" s="80">
        <f>G4*$V$21</f>
        <v>1.6193309022507363</v>
      </c>
      <c r="H21" s="80">
        <f t="shared" ref="H21:O21" si="17">H4*$V$21</f>
        <v>1.4573978120256625</v>
      </c>
      <c r="I21" s="80">
        <f t="shared" si="17"/>
        <v>1.5885636151079723</v>
      </c>
      <c r="J21" s="80">
        <f t="shared" si="17"/>
        <v>1.7315343404676897</v>
      </c>
      <c r="K21" s="80">
        <f t="shared" si="17"/>
        <v>1.8873724311097819</v>
      </c>
      <c r="L21" s="80">
        <f t="shared" si="17"/>
        <v>2.7366900251091835</v>
      </c>
      <c r="M21" s="80">
        <f t="shared" si="17"/>
        <v>3.9682005364083164</v>
      </c>
      <c r="N21" s="80">
        <f t="shared" si="17"/>
        <v>5.7538907777920585</v>
      </c>
      <c r="O21" s="80">
        <f t="shared" si="17"/>
        <v>8.3431416277984844</v>
      </c>
      <c r="P21" s="176"/>
      <c r="Q21" s="120">
        <f>B21/$B$4</f>
        <v>1.3062409288824382E-2</v>
      </c>
      <c r="R21" s="121">
        <f t="shared" ref="R21:U21" si="18">C21/C4</f>
        <v>7.1120209059233261E-3</v>
      </c>
      <c r="S21" s="121">
        <f t="shared" si="18"/>
        <v>1.288896321070237E-2</v>
      </c>
      <c r="T21" s="121">
        <f t="shared" si="18"/>
        <v>9.6582421120412678E-3</v>
      </c>
      <c r="U21" s="122">
        <f t="shared" si="18"/>
        <v>1.2845274861025439E-2</v>
      </c>
      <c r="V21" s="132">
        <f>AVERAGE(Q21:U21)</f>
        <v>1.1113382075703357E-2</v>
      </c>
    </row>
    <row r="22" spans="1:22" x14ac:dyDescent="0.25">
      <c r="A22" s="11" t="s">
        <v>8</v>
      </c>
      <c r="B22" s="26">
        <v>13.1</v>
      </c>
      <c r="C22" s="26">
        <v>13.5</v>
      </c>
      <c r="D22" s="26">
        <v>14.6</v>
      </c>
      <c r="E22" s="26">
        <v>15.2</v>
      </c>
      <c r="F22" s="26">
        <v>16.2</v>
      </c>
      <c r="G22" s="80">
        <f>G4*$V$22</f>
        <v>14.126225382751752</v>
      </c>
      <c r="H22" s="80">
        <f t="shared" ref="H22:O22" si="19">H4*$V$22</f>
        <v>12.713602844476577</v>
      </c>
      <c r="I22" s="80">
        <f t="shared" si="19"/>
        <v>13.85782710047947</v>
      </c>
      <c r="J22" s="80">
        <f t="shared" si="19"/>
        <v>15.105031539522622</v>
      </c>
      <c r="K22" s="80">
        <f t="shared" si="19"/>
        <v>16.464484378079657</v>
      </c>
      <c r="L22" s="80">
        <f t="shared" si="19"/>
        <v>23.873502348215503</v>
      </c>
      <c r="M22" s="80">
        <f t="shared" si="19"/>
        <v>34.616578404912481</v>
      </c>
      <c r="N22" s="80">
        <f t="shared" si="19"/>
        <v>50.194038687123097</v>
      </c>
      <c r="O22" s="80">
        <f t="shared" si="19"/>
        <v>72.78135609632848</v>
      </c>
      <c r="P22" s="176"/>
      <c r="Q22" s="123">
        <f>B22/B4</f>
        <v>9.5065312046444111E-2</v>
      </c>
      <c r="R22" s="118">
        <f t="shared" ref="R22:U22" si="20">C22/C4</f>
        <v>9.4076655052264813E-2</v>
      </c>
      <c r="S22" s="118">
        <f t="shared" si="20"/>
        <v>9.7658862876254179E-2</v>
      </c>
      <c r="T22" s="118">
        <f t="shared" si="20"/>
        <v>9.7875080489375391E-2</v>
      </c>
      <c r="U22" s="124">
        <f t="shared" si="20"/>
        <v>0.10006176652254477</v>
      </c>
      <c r="V22" s="119">
        <f t="shared" ref="V22:V23" si="21">AVERAGE(Q22:U22)</f>
        <v>9.6947535397376647E-2</v>
      </c>
    </row>
    <row r="23" spans="1:22" x14ac:dyDescent="0.25">
      <c r="A23" s="13" t="s">
        <v>22</v>
      </c>
      <c r="B23" s="25">
        <v>2.8</v>
      </c>
      <c r="C23" s="25">
        <v>4</v>
      </c>
      <c r="D23" s="25">
        <v>4.0999999999999996</v>
      </c>
      <c r="E23" s="25">
        <v>4.2</v>
      </c>
      <c r="F23" s="25">
        <v>4.2</v>
      </c>
      <c r="G23" s="80">
        <f>G4*$V$23</f>
        <v>3.7478065185066991</v>
      </c>
      <c r="H23" s="80">
        <f t="shared" ref="H23:O23" si="22">H4*$V$23</f>
        <v>3.3730258666560293</v>
      </c>
      <c r="I23" s="80">
        <f t="shared" si="22"/>
        <v>3.6765981946550723</v>
      </c>
      <c r="J23" s="80">
        <f t="shared" si="22"/>
        <v>4.0074920321740288</v>
      </c>
      <c r="K23" s="80">
        <f t="shared" si="22"/>
        <v>4.3681663150696917</v>
      </c>
      <c r="L23" s="80">
        <f t="shared" si="22"/>
        <v>6.3338411568510526</v>
      </c>
      <c r="M23" s="80">
        <f t="shared" si="22"/>
        <v>9.1840696774340262</v>
      </c>
      <c r="N23" s="80">
        <f t="shared" si="22"/>
        <v>13.316901032279338</v>
      </c>
      <c r="O23" s="80">
        <f t="shared" si="22"/>
        <v>19.309506496805039</v>
      </c>
      <c r="P23" s="177"/>
      <c r="Q23" s="123">
        <f>B23/B4</f>
        <v>2.0319303338171259E-2</v>
      </c>
      <c r="R23" s="118">
        <f t="shared" ref="R23:U23" si="23">C23/C4</f>
        <v>2.7874564459930314E-2</v>
      </c>
      <c r="S23" s="118">
        <f t="shared" si="23"/>
        <v>2.7424749163879596E-2</v>
      </c>
      <c r="T23" s="118">
        <f t="shared" si="23"/>
        <v>2.7044430135222151E-2</v>
      </c>
      <c r="U23" s="124">
        <f t="shared" si="23"/>
        <v>2.5941939468807906E-2</v>
      </c>
      <c r="V23" s="119">
        <f t="shared" si="21"/>
        <v>2.5720997313202244E-2</v>
      </c>
    </row>
    <row r="24" spans="1:22" x14ac:dyDescent="0.25">
      <c r="A24" s="11" t="s">
        <v>0</v>
      </c>
      <c r="B24" s="24">
        <v>17.7</v>
      </c>
      <c r="C24" s="24">
        <v>18.520574999999997</v>
      </c>
      <c r="D24" s="24">
        <v>20.626900000000006</v>
      </c>
      <c r="E24" s="24">
        <v>20.899925000000007</v>
      </c>
      <c r="F24" s="24">
        <v>22.479650000000017</v>
      </c>
      <c r="G24" s="81">
        <f>SUM(G21:G23)</f>
        <v>19.493362803509186</v>
      </c>
      <c r="H24" s="81">
        <f t="shared" ref="H24:O24" si="24">SUM(H21:H23)</f>
        <v>17.544026523158269</v>
      </c>
      <c r="I24" s="81">
        <f t="shared" si="24"/>
        <v>19.122988910242515</v>
      </c>
      <c r="J24" s="81">
        <f t="shared" si="24"/>
        <v>20.844057912164342</v>
      </c>
      <c r="K24" s="81">
        <f t="shared" si="24"/>
        <v>22.720023124259129</v>
      </c>
      <c r="L24" s="81">
        <f t="shared" si="24"/>
        <v>32.944033530175737</v>
      </c>
      <c r="M24" s="81">
        <f t="shared" si="24"/>
        <v>47.768848618754824</v>
      </c>
      <c r="N24" s="81">
        <f t="shared" si="24"/>
        <v>69.264830497194495</v>
      </c>
      <c r="O24" s="81">
        <f t="shared" si="24"/>
        <v>100.43400422093201</v>
      </c>
      <c r="P24" s="178"/>
      <c r="Q24" s="125"/>
      <c r="R24" s="116"/>
      <c r="S24" s="116"/>
      <c r="T24" s="116"/>
      <c r="U24" s="126"/>
      <c r="V24" s="117"/>
    </row>
    <row r="25" spans="1:22" x14ac:dyDescent="0.25">
      <c r="A25" s="11" t="s">
        <v>12</v>
      </c>
      <c r="B25" s="24">
        <v>16</v>
      </c>
      <c r="C25" s="24">
        <v>17.387499999999999</v>
      </c>
      <c r="D25" s="24">
        <v>18.625</v>
      </c>
      <c r="E25" s="24">
        <v>19.7075</v>
      </c>
      <c r="F25" s="24">
        <v>20.855</v>
      </c>
      <c r="G25" s="80">
        <f>$V$25*G4</f>
        <v>17.997315979674408</v>
      </c>
      <c r="H25" s="80">
        <f t="shared" ref="H25:O25" si="25">$V$25*H4</f>
        <v>16.197584381706967</v>
      </c>
      <c r="I25" s="80">
        <f t="shared" si="25"/>
        <v>17.655366976060595</v>
      </c>
      <c r="J25" s="80">
        <f t="shared" si="25"/>
        <v>19.24435000390605</v>
      </c>
      <c r="K25" s="80">
        <f t="shared" si="25"/>
        <v>20.976341504257594</v>
      </c>
      <c r="L25" s="80">
        <f t="shared" si="25"/>
        <v>30.415695181173511</v>
      </c>
      <c r="M25" s="80">
        <f t="shared" si="25"/>
        <v>44.102758012701592</v>
      </c>
      <c r="N25" s="80">
        <f t="shared" si="25"/>
        <v>63.948999118417305</v>
      </c>
      <c r="O25" s="80">
        <f t="shared" si="25"/>
        <v>92.726048721705084</v>
      </c>
      <c r="P25" s="174"/>
      <c r="Q25" s="127">
        <f t="shared" ref="Q25:Q34" si="26">B25/$B$4</f>
        <v>0.11611030478955006</v>
      </c>
      <c r="R25" s="100">
        <f t="shared" ref="R25:R34" si="27">C25/$C$4</f>
        <v>0.12116724738675957</v>
      </c>
      <c r="S25" s="100">
        <f t="shared" ref="S25:S34" si="28">D25/$D$4</f>
        <v>0.1245819397993311</v>
      </c>
      <c r="T25" s="100">
        <f t="shared" ref="T25:T34" si="29">E25/$E$4</f>
        <v>0.12689954925949773</v>
      </c>
      <c r="U25" s="128">
        <f t="shared" ref="U25:U34" si="30">F25/$F$4</f>
        <v>0.12881408276714021</v>
      </c>
      <c r="V25" s="96">
        <f t="shared" ref="V25:V34" si="31">AVERAGE(Q25:U25)</f>
        <v>0.12351462480045575</v>
      </c>
    </row>
    <row r="26" spans="1:22" x14ac:dyDescent="0.25">
      <c r="A26" s="13" t="s">
        <v>18</v>
      </c>
      <c r="B26" s="25">
        <v>35.9</v>
      </c>
      <c r="C26" s="25">
        <v>38.6</v>
      </c>
      <c r="D26" s="25">
        <v>41.8</v>
      </c>
      <c r="E26" s="25">
        <v>43.2</v>
      </c>
      <c r="F26" s="25">
        <v>43.5</v>
      </c>
      <c r="G26" s="80">
        <f>G4*$V$26+120</f>
        <v>159.5155716653899</v>
      </c>
      <c r="H26" s="80">
        <f t="shared" ref="H26:O26" si="32">H4*$V$26+120</f>
        <v>155.5640144988509</v>
      </c>
      <c r="I26" s="80">
        <f t="shared" si="32"/>
        <v>158.76477580374751</v>
      </c>
      <c r="J26" s="80">
        <f t="shared" si="32"/>
        <v>162.25360562608478</v>
      </c>
      <c r="K26" s="80">
        <f t="shared" si="32"/>
        <v>166.05643013243241</v>
      </c>
      <c r="L26" s="80">
        <f t="shared" si="32"/>
        <v>186.78182369202699</v>
      </c>
      <c r="M26" s="80">
        <f t="shared" si="32"/>
        <v>216.83364435343913</v>
      </c>
      <c r="N26" s="80">
        <f t="shared" si="32"/>
        <v>260.40878431248672</v>
      </c>
      <c r="O26" s="80">
        <f t="shared" si="32"/>
        <v>323.59273725310572</v>
      </c>
      <c r="P26" s="177"/>
      <c r="Q26" s="127">
        <f t="shared" si="26"/>
        <v>0.26052249637155295</v>
      </c>
      <c r="R26" s="100">
        <f t="shared" si="27"/>
        <v>0.26898954703832756</v>
      </c>
      <c r="S26" s="100">
        <f t="shared" si="28"/>
        <v>0.27959866220735785</v>
      </c>
      <c r="T26" s="100">
        <f t="shared" si="29"/>
        <v>0.2781712813908564</v>
      </c>
      <c r="U26" s="128">
        <f t="shared" si="30"/>
        <v>0.26868437306979615</v>
      </c>
      <c r="V26" s="96">
        <f t="shared" si="31"/>
        <v>0.27119327201557819</v>
      </c>
    </row>
    <row r="27" spans="1:22" x14ac:dyDescent="0.25">
      <c r="A27" s="11" t="s">
        <v>1</v>
      </c>
      <c r="B27" s="26">
        <v>69.599999999999994</v>
      </c>
      <c r="C27" s="26">
        <v>74.508074999999991</v>
      </c>
      <c r="D27" s="26">
        <v>81.051900000000003</v>
      </c>
      <c r="E27" s="26">
        <v>83.807425000000009</v>
      </c>
      <c r="F27" s="26">
        <v>86.834650000000011</v>
      </c>
      <c r="G27" s="81">
        <f>SUM(G24:G26)</f>
        <v>197.0062504485735</v>
      </c>
      <c r="H27" s="81">
        <f t="shared" ref="H27:O27" si="33">SUM(H24:H26)</f>
        <v>189.30562540371614</v>
      </c>
      <c r="I27" s="81">
        <f t="shared" si="33"/>
        <v>195.54313169005061</v>
      </c>
      <c r="J27" s="81">
        <f t="shared" si="33"/>
        <v>202.34201354215517</v>
      </c>
      <c r="K27" s="81">
        <f t="shared" si="33"/>
        <v>209.75279476094914</v>
      </c>
      <c r="L27" s="81">
        <f t="shared" si="33"/>
        <v>250.14155240337624</v>
      </c>
      <c r="M27" s="81">
        <f t="shared" si="33"/>
        <v>308.70525098489554</v>
      </c>
      <c r="N27" s="81">
        <f t="shared" si="33"/>
        <v>393.62261392809853</v>
      </c>
      <c r="O27" s="81">
        <f t="shared" si="33"/>
        <v>516.75279019574282</v>
      </c>
      <c r="P27" s="174"/>
      <c r="Q27" s="127"/>
      <c r="R27" s="100"/>
      <c r="S27" s="100"/>
      <c r="T27" s="100"/>
      <c r="U27" s="128"/>
      <c r="V27" s="96"/>
    </row>
    <row r="28" spans="1:22" x14ac:dyDescent="0.25">
      <c r="A28" s="11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174"/>
      <c r="Q28" s="127"/>
      <c r="R28" s="100"/>
      <c r="S28" s="100"/>
      <c r="T28" s="100"/>
      <c r="U28" s="128"/>
      <c r="V28" s="96"/>
    </row>
    <row r="29" spans="1:22" x14ac:dyDescent="0.25">
      <c r="A29" s="11" t="s">
        <v>9</v>
      </c>
      <c r="B29" s="24">
        <v>9.3000000000000007</v>
      </c>
      <c r="C29" s="24">
        <v>9.9</v>
      </c>
      <c r="D29" s="24">
        <v>10.4</v>
      </c>
      <c r="E29" s="24">
        <v>11</v>
      </c>
      <c r="F29" s="24">
        <v>11.5</v>
      </c>
      <c r="G29" s="80">
        <f>G5*$V$29</f>
        <v>10.118678235609506</v>
      </c>
      <c r="H29" s="80">
        <f t="shared" ref="H29:O29" si="34">H5*$V$29</f>
        <v>9.1068104120485547</v>
      </c>
      <c r="I29" s="80">
        <f t="shared" si="34"/>
        <v>9.8721805985912159</v>
      </c>
      <c r="J29" s="80">
        <f t="shared" si="34"/>
        <v>10.819801450554889</v>
      </c>
      <c r="K29" s="80">
        <f t="shared" si="34"/>
        <v>11.664691957267618</v>
      </c>
      <c r="L29" s="80">
        <f t="shared" si="34"/>
        <v>16.913803338038047</v>
      </c>
      <c r="M29" s="80">
        <f t="shared" si="34"/>
        <v>24.525014840155169</v>
      </c>
      <c r="N29" s="80">
        <f t="shared" si="34"/>
        <v>35.561271518224991</v>
      </c>
      <c r="O29" s="80">
        <f t="shared" si="34"/>
        <v>51.563843701426229</v>
      </c>
      <c r="P29" s="174"/>
      <c r="Q29" s="127">
        <f>B29/B5</f>
        <v>7.3750991276764488E-2</v>
      </c>
      <c r="R29" s="100">
        <f t="shared" ref="R29:U29" si="35">C29/C5</f>
        <v>7.5285171102661599E-2</v>
      </c>
      <c r="S29" s="100">
        <f t="shared" si="35"/>
        <v>7.5857038657913933E-2</v>
      </c>
      <c r="T29" s="100">
        <f t="shared" si="35"/>
        <v>7.7192982456140355E-2</v>
      </c>
      <c r="U29" s="128">
        <f t="shared" si="35"/>
        <v>7.7388963660834462E-2</v>
      </c>
      <c r="V29" s="96">
        <f t="shared" si="31"/>
        <v>7.5895029430862973E-2</v>
      </c>
    </row>
    <row r="30" spans="1:22" s="2" customFormat="1" ht="14.4" x14ac:dyDescent="0.25">
      <c r="A30" s="13" t="s">
        <v>61</v>
      </c>
      <c r="B30" s="25">
        <v>0.4</v>
      </c>
      <c r="C30" s="25">
        <v>0.4</v>
      </c>
      <c r="D30" s="25">
        <v>0.4</v>
      </c>
      <c r="E30" s="25">
        <v>0.4</v>
      </c>
      <c r="F30" s="25">
        <v>0.4</v>
      </c>
      <c r="G30" s="25">
        <v>0.4</v>
      </c>
      <c r="H30" s="25">
        <v>0.4</v>
      </c>
      <c r="I30" s="87">
        <f>H30+5</f>
        <v>5.4</v>
      </c>
      <c r="J30" s="87">
        <v>5.4</v>
      </c>
      <c r="K30" s="87">
        <v>5.4</v>
      </c>
      <c r="L30" s="87">
        <v>5.4</v>
      </c>
      <c r="M30" s="87">
        <v>5.4</v>
      </c>
      <c r="N30" s="87">
        <v>5.4</v>
      </c>
      <c r="O30" s="87">
        <v>90.4</v>
      </c>
      <c r="P30" s="174"/>
      <c r="Q30" s="127">
        <f>B30/B5</f>
        <v>3.1720856463124509E-3</v>
      </c>
      <c r="R30" s="100">
        <f t="shared" si="27"/>
        <v>2.7874564459930314E-3</v>
      </c>
      <c r="S30" s="100">
        <f t="shared" si="28"/>
        <v>2.6755852842809368E-3</v>
      </c>
      <c r="T30" s="100">
        <f t="shared" si="29"/>
        <v>2.5756600128783E-3</v>
      </c>
      <c r="U30" s="128">
        <f t="shared" si="30"/>
        <v>2.4706609017912293E-3</v>
      </c>
      <c r="V30" s="96">
        <f t="shared" si="31"/>
        <v>2.7362896582511899E-3</v>
      </c>
    </row>
    <row r="31" spans="1:22" x14ac:dyDescent="0.25">
      <c r="A31" s="11" t="s">
        <v>6</v>
      </c>
      <c r="B31" s="24">
        <v>9.7000000000000011</v>
      </c>
      <c r="C31" s="24">
        <v>10.3</v>
      </c>
      <c r="D31" s="24">
        <v>10.8</v>
      </c>
      <c r="E31" s="24">
        <v>11.4</v>
      </c>
      <c r="F31" s="24">
        <v>11.9</v>
      </c>
      <c r="G31" s="80">
        <f>SUM(G29:G30)</f>
        <v>10.518678235609507</v>
      </c>
      <c r="H31" s="80">
        <f t="shared" ref="H31:O31" si="36">SUM(H29:H30)</f>
        <v>9.506810412048555</v>
      </c>
      <c r="I31" s="80">
        <f t="shared" si="36"/>
        <v>15.272180598591216</v>
      </c>
      <c r="J31" s="80">
        <f t="shared" si="36"/>
        <v>16.21980145055489</v>
      </c>
      <c r="K31" s="80">
        <f t="shared" si="36"/>
        <v>17.06469195726762</v>
      </c>
      <c r="L31" s="80">
        <f t="shared" si="36"/>
        <v>22.313803338038049</v>
      </c>
      <c r="M31" s="80">
        <f t="shared" si="36"/>
        <v>29.925014840155171</v>
      </c>
      <c r="N31" s="80">
        <f t="shared" si="36"/>
        <v>40.96127151822499</v>
      </c>
      <c r="O31" s="80">
        <f t="shared" si="36"/>
        <v>141.96384370142624</v>
      </c>
      <c r="P31" s="174"/>
      <c r="Q31" s="127"/>
      <c r="R31" s="100"/>
      <c r="S31" s="100"/>
      <c r="T31" s="100"/>
      <c r="U31" s="128"/>
      <c r="V31" s="96"/>
    </row>
    <row r="32" spans="1:22" x14ac:dyDescent="0.25">
      <c r="A32" s="11" t="s">
        <v>5</v>
      </c>
      <c r="B32" s="24">
        <v>8.1999999999999993</v>
      </c>
      <c r="C32" s="24">
        <v>7.7</v>
      </c>
      <c r="D32" s="24">
        <v>8.6999999999999993</v>
      </c>
      <c r="E32" s="24">
        <v>8.3000000000000007</v>
      </c>
      <c r="F32" s="24">
        <v>7.9</v>
      </c>
      <c r="G32" s="88">
        <f>G5*$V$32+120</f>
        <v>127.29551273680805</v>
      </c>
      <c r="H32" s="88">
        <f>H5*$V$32+120</f>
        <v>126.56596146312725</v>
      </c>
      <c r="I32" s="88">
        <f>I5*$V$32+120</f>
        <v>127.11778926259663</v>
      </c>
      <c r="J32" s="88">
        <f>J5*$V$32+120</f>
        <v>127.80101881434148</v>
      </c>
      <c r="K32" s="88">
        <f t="shared" ref="K32:O32" si="37">K5*$V$32+120</f>
        <v>128.4101803381499</v>
      </c>
      <c r="L32" s="88">
        <f t="shared" si="37"/>
        <v>132.19476149031735</v>
      </c>
      <c r="M32" s="88">
        <f t="shared" si="37"/>
        <v>137.68240416096015</v>
      </c>
      <c r="N32" s="88">
        <f t="shared" si="37"/>
        <v>145.63948603339222</v>
      </c>
      <c r="O32" s="88">
        <f t="shared" si="37"/>
        <v>157.1772547484187</v>
      </c>
      <c r="P32" s="175"/>
      <c r="Q32" s="127">
        <f t="shared" si="26"/>
        <v>5.95065312046444E-2</v>
      </c>
      <c r="R32" s="100">
        <f t="shared" si="27"/>
        <v>5.3658536585365853E-2</v>
      </c>
      <c r="S32" s="100">
        <f t="shared" si="28"/>
        <v>5.8193979933110367E-2</v>
      </c>
      <c r="T32" s="100">
        <f t="shared" si="29"/>
        <v>5.3444945267224729E-2</v>
      </c>
      <c r="U32" s="128">
        <f t="shared" si="30"/>
        <v>4.8795552810376779E-2</v>
      </c>
      <c r="V32" s="96">
        <f t="shared" si="31"/>
        <v>5.471990916014443E-2</v>
      </c>
    </row>
    <row r="33" spans="1:23" x14ac:dyDescent="0.25">
      <c r="A33" s="11" t="s">
        <v>59</v>
      </c>
      <c r="B33" s="24">
        <v>11.6</v>
      </c>
      <c r="C33" s="24">
        <v>12.8</v>
      </c>
      <c r="D33" s="24">
        <v>13.1</v>
      </c>
      <c r="E33" s="24">
        <v>13.3</v>
      </c>
      <c r="F33" s="24">
        <v>13</v>
      </c>
      <c r="G33" s="88">
        <f>G5*$V$33</f>
        <v>11.38435641325656</v>
      </c>
      <c r="H33" s="88">
        <f t="shared" ref="H33:O33" si="38">H5*$V$33</f>
        <v>10.245920771930903</v>
      </c>
      <c r="I33" s="88">
        <f t="shared" si="38"/>
        <v>11.107026025877884</v>
      </c>
      <c r="J33" s="88">
        <f t="shared" si="38"/>
        <v>12.173178469131106</v>
      </c>
      <c r="K33" s="88">
        <f t="shared" si="38"/>
        <v>13.12375071133812</v>
      </c>
      <c r="L33" s="88">
        <f t="shared" si="38"/>
        <v>19.029438531440274</v>
      </c>
      <c r="M33" s="88">
        <f t="shared" si="38"/>
        <v>27.592685870588397</v>
      </c>
      <c r="N33" s="88">
        <f t="shared" si="38"/>
        <v>40.009394512353175</v>
      </c>
      <c r="O33" s="88">
        <f t="shared" si="38"/>
        <v>58.013622042912097</v>
      </c>
      <c r="P33" s="175"/>
      <c r="Q33" s="127">
        <f t="shared" si="26"/>
        <v>8.4179970972423787E-2</v>
      </c>
      <c r="R33" s="100">
        <f t="shared" si="27"/>
        <v>8.9198606271777003E-2</v>
      </c>
      <c r="S33" s="100">
        <f t="shared" si="28"/>
        <v>8.762541806020066E-2</v>
      </c>
      <c r="T33" s="100">
        <f t="shared" si="29"/>
        <v>8.5640695428203475E-2</v>
      </c>
      <c r="U33" s="128">
        <f t="shared" si="30"/>
        <v>8.0296479308214944E-2</v>
      </c>
      <c r="V33" s="96">
        <f t="shared" si="31"/>
        <v>8.5388234008163963E-2</v>
      </c>
    </row>
    <row r="34" spans="1:23" ht="12.6" thickBot="1" x14ac:dyDescent="0.3">
      <c r="A34" s="11" t="s">
        <v>44</v>
      </c>
      <c r="B34" s="24">
        <v>11</v>
      </c>
      <c r="C34" s="24">
        <v>11.2</v>
      </c>
      <c r="D34" s="24">
        <v>12.5</v>
      </c>
      <c r="E34" s="24">
        <v>11.4</v>
      </c>
      <c r="F34" s="24">
        <v>10.9</v>
      </c>
      <c r="G34" s="88">
        <f>G$5*$V$34</f>
        <v>10.191828883388032</v>
      </c>
      <c r="H34" s="88">
        <f t="shared" ref="H34:O34" si="39">H$5*$V$34</f>
        <v>9.1726459950492281</v>
      </c>
      <c r="I34" s="88">
        <f t="shared" si="39"/>
        <v>9.9435492486222188</v>
      </c>
      <c r="J34" s="88">
        <f t="shared" si="39"/>
        <v>10.898020706717988</v>
      </c>
      <c r="K34" s="88">
        <f t="shared" si="39"/>
        <v>11.749019154253508</v>
      </c>
      <c r="L34" s="88">
        <f t="shared" si="39"/>
        <v>17.036077773667586</v>
      </c>
      <c r="M34" s="88">
        <f t="shared" si="39"/>
        <v>24.702312771818001</v>
      </c>
      <c r="N34" s="88">
        <f t="shared" si="39"/>
        <v>35.818353519136103</v>
      </c>
      <c r="O34" s="88">
        <f t="shared" si="39"/>
        <v>51.936612602747338</v>
      </c>
      <c r="P34" s="175"/>
      <c r="Q34" s="129">
        <f t="shared" si="26"/>
        <v>7.9825834542815666E-2</v>
      </c>
      <c r="R34" s="130">
        <f t="shared" si="27"/>
        <v>7.8048780487804878E-2</v>
      </c>
      <c r="S34" s="130">
        <f t="shared" si="28"/>
        <v>8.3612040133779264E-2</v>
      </c>
      <c r="T34" s="130">
        <f t="shared" si="29"/>
        <v>7.3406310367031546E-2</v>
      </c>
      <c r="U34" s="131">
        <f t="shared" si="30"/>
        <v>6.732550957381099E-2</v>
      </c>
      <c r="V34" s="97">
        <f t="shared" si="31"/>
        <v>7.6443695021048474E-2</v>
      </c>
    </row>
    <row r="35" spans="1:23" x14ac:dyDescent="0.25">
      <c r="A35" s="27" t="s">
        <v>10</v>
      </c>
      <c r="B35" s="28">
        <v>40.5</v>
      </c>
      <c r="C35" s="28">
        <v>42</v>
      </c>
      <c r="D35" s="28">
        <v>45.1</v>
      </c>
      <c r="E35" s="28">
        <v>44.4</v>
      </c>
      <c r="F35" s="28">
        <v>43.699999999999996</v>
      </c>
      <c r="G35" s="81">
        <f>SUM(G31:G34)</f>
        <v>159.39037626906216</v>
      </c>
      <c r="H35" s="81">
        <f t="shared" ref="H35:O35" si="40">SUM(H31:H34)</f>
        <v>155.49133864215597</v>
      </c>
      <c r="I35" s="81">
        <f t="shared" si="40"/>
        <v>163.44054513568793</v>
      </c>
      <c r="J35" s="81">
        <f t="shared" si="40"/>
        <v>167.09201944074547</v>
      </c>
      <c r="K35" s="81">
        <f t="shared" si="40"/>
        <v>170.34764216100916</v>
      </c>
      <c r="L35" s="81">
        <f t="shared" si="40"/>
        <v>190.57408113346324</v>
      </c>
      <c r="M35" s="81">
        <f t="shared" si="40"/>
        <v>219.90241764352174</v>
      </c>
      <c r="N35" s="81">
        <f t="shared" si="40"/>
        <v>262.42850558310647</v>
      </c>
      <c r="O35" s="81">
        <f t="shared" si="40"/>
        <v>409.09133309550441</v>
      </c>
      <c r="P35" s="174"/>
      <c r="Q35" s="100"/>
      <c r="R35" s="100"/>
      <c r="S35" s="100"/>
      <c r="T35" s="100"/>
      <c r="U35" s="100"/>
      <c r="V35" s="93"/>
      <c r="W35" s="5"/>
    </row>
    <row r="36" spans="1:23" x14ac:dyDescent="0.25">
      <c r="A36" s="10" t="s">
        <v>57</v>
      </c>
      <c r="B36" s="24">
        <v>29.099999999999994</v>
      </c>
      <c r="C36" s="24">
        <v>32.508074999999991</v>
      </c>
      <c r="D36" s="24">
        <v>35.951899999999995</v>
      </c>
      <c r="E36" s="24">
        <v>39.407425000000003</v>
      </c>
      <c r="F36" s="24">
        <v>43.134650000000008</v>
      </c>
      <c r="G36" s="108">
        <f>F36+G14</f>
        <v>39.061144299475565</v>
      </c>
      <c r="H36" s="108">
        <f t="shared" ref="H36:O36" si="41">G36+H14</f>
        <v>34.282139169003571</v>
      </c>
      <c r="I36" s="108">
        <f t="shared" si="41"/>
        <v>30.305999464560756</v>
      </c>
      <c r="J36" s="108">
        <f t="shared" si="41"/>
        <v>26.241257319046976</v>
      </c>
      <c r="K36" s="108">
        <f t="shared" si="41"/>
        <v>23.709351791959982</v>
      </c>
      <c r="L36" s="108">
        <f t="shared" si="41"/>
        <v>24.564913777683838</v>
      </c>
      <c r="M36" s="108">
        <f t="shared" si="41"/>
        <v>37.936835885836246</v>
      </c>
      <c r="N36" s="108">
        <f t="shared" si="41"/>
        <v>59.011872942657234</v>
      </c>
      <c r="O36" s="108">
        <f t="shared" si="41"/>
        <v>91.314926675047658</v>
      </c>
      <c r="P36" s="179"/>
      <c r="Q36" s="100"/>
      <c r="R36" s="100"/>
      <c r="S36" s="100"/>
      <c r="T36" s="100"/>
      <c r="U36" s="100"/>
      <c r="V36" s="93"/>
    </row>
    <row r="37" spans="1:23" x14ac:dyDescent="0.25">
      <c r="A37" s="16" t="s">
        <v>2</v>
      </c>
      <c r="B37" s="29">
        <v>69.599999999999994</v>
      </c>
      <c r="C37" s="29">
        <v>74.508074999999991</v>
      </c>
      <c r="D37" s="29">
        <v>81.051899999999989</v>
      </c>
      <c r="E37" s="29">
        <v>83.807424999999995</v>
      </c>
      <c r="F37" s="29">
        <v>86.834650000000011</v>
      </c>
      <c r="G37" s="81">
        <f>SUM(G35:G36)</f>
        <v>198.45152056853772</v>
      </c>
      <c r="H37" s="81">
        <f t="shared" ref="H37:O37" si="42">SUM(H35:H36)</f>
        <v>189.77347781115952</v>
      </c>
      <c r="I37" s="81">
        <f t="shared" si="42"/>
        <v>193.74654460024868</v>
      </c>
      <c r="J37" s="81">
        <f t="shared" si="42"/>
        <v>193.33327675979245</v>
      </c>
      <c r="K37" s="81">
        <f t="shared" si="42"/>
        <v>194.05699395296915</v>
      </c>
      <c r="L37" s="81">
        <f t="shared" si="42"/>
        <v>215.13899491114708</v>
      </c>
      <c r="M37" s="81">
        <f t="shared" si="42"/>
        <v>257.83925352935796</v>
      </c>
      <c r="N37" s="81">
        <f t="shared" si="42"/>
        <v>321.44037852576372</v>
      </c>
      <c r="O37" s="81">
        <f t="shared" si="42"/>
        <v>500.40625977055208</v>
      </c>
      <c r="Q37" s="100"/>
      <c r="R37" s="100"/>
      <c r="S37" s="100"/>
      <c r="T37" s="100"/>
      <c r="U37" s="100"/>
      <c r="V37" s="93"/>
    </row>
    <row r="38" spans="1:23" ht="14.4" x14ac:dyDescent="0.25">
      <c r="A38" s="14" t="s">
        <v>62</v>
      </c>
      <c r="B38" s="24"/>
      <c r="C38" s="24"/>
      <c r="D38" s="24"/>
      <c r="E38" s="24"/>
      <c r="F38" s="24"/>
      <c r="G38" s="106"/>
      <c r="H38" s="85"/>
      <c r="I38" s="85"/>
      <c r="J38" s="85"/>
      <c r="K38" s="85"/>
      <c r="L38" s="85"/>
      <c r="M38" s="85"/>
      <c r="N38" s="85"/>
      <c r="O38" s="85"/>
      <c r="Q38" s="5"/>
      <c r="R38" s="5"/>
      <c r="S38" s="5"/>
      <c r="T38" s="5"/>
      <c r="U38" s="5"/>
      <c r="V38" s="5"/>
    </row>
    <row r="39" spans="1:23" ht="14.4" x14ac:dyDescent="0.25">
      <c r="A39" s="14" t="s">
        <v>63</v>
      </c>
      <c r="B39" s="24"/>
      <c r="C39" s="24"/>
      <c r="D39" s="24"/>
      <c r="E39" s="24"/>
      <c r="F39" s="24"/>
    </row>
    <row r="40" spans="1:23" x14ac:dyDescent="0.25">
      <c r="B40" s="7"/>
      <c r="C40" s="7"/>
      <c r="D40" s="7"/>
      <c r="E40" s="7"/>
      <c r="F40" s="7"/>
      <c r="K40" s="5" t="s">
        <v>95</v>
      </c>
    </row>
    <row r="41" spans="1:23" x14ac:dyDescent="0.25">
      <c r="A41" s="78" t="s">
        <v>103</v>
      </c>
    </row>
    <row r="42" spans="1:23" x14ac:dyDescent="0.25">
      <c r="A42" s="77" t="s">
        <v>111</v>
      </c>
      <c r="B42" s="71"/>
      <c r="C42" s="71"/>
      <c r="D42" s="71"/>
      <c r="E42" s="71"/>
      <c r="F42" s="71"/>
      <c r="G42" s="74"/>
      <c r="K42" s="1" t="s">
        <v>96</v>
      </c>
      <c r="M42" s="1">
        <v>2015</v>
      </c>
      <c r="N42" s="1">
        <v>2016</v>
      </c>
      <c r="O42" s="1">
        <v>2017</v>
      </c>
      <c r="P42" s="173">
        <v>2018</v>
      </c>
      <c r="Q42" s="1">
        <v>2019</v>
      </c>
      <c r="R42" s="1" t="s">
        <v>82</v>
      </c>
    </row>
    <row r="43" spans="1:23" x14ac:dyDescent="0.25">
      <c r="A43" s="5" t="s">
        <v>104</v>
      </c>
      <c r="L43" s="1" t="s">
        <v>100</v>
      </c>
      <c r="M43" s="71">
        <v>-0.15</v>
      </c>
      <c r="N43" s="71">
        <v>-0.15</v>
      </c>
      <c r="O43" s="71">
        <v>0.08</v>
      </c>
      <c r="P43" s="180">
        <v>0.08</v>
      </c>
      <c r="Q43" s="71">
        <v>0.08</v>
      </c>
      <c r="R43" s="74">
        <v>3.5000000000000003E-2</v>
      </c>
    </row>
    <row r="44" spans="1:23" x14ac:dyDescent="0.25">
      <c r="A44" s="5" t="s">
        <v>109</v>
      </c>
      <c r="B44" s="74"/>
      <c r="C44" s="76"/>
      <c r="D44" s="74"/>
      <c r="E44" s="71"/>
      <c r="F44" s="74"/>
      <c r="P44" s="173" t="s">
        <v>88</v>
      </c>
    </row>
    <row r="45" spans="1:23" x14ac:dyDescent="0.25">
      <c r="A45" s="5" t="s">
        <v>105</v>
      </c>
      <c r="L45" s="1" t="s">
        <v>89</v>
      </c>
      <c r="M45" s="74">
        <v>8.5000000000000006E-2</v>
      </c>
      <c r="N45" s="74">
        <v>8.5000000000000006E-2</v>
      </c>
      <c r="O45" s="74">
        <v>8.5000000000000006E-2</v>
      </c>
      <c r="P45" s="180">
        <v>0.09</v>
      </c>
    </row>
    <row r="46" spans="1:23" x14ac:dyDescent="0.25">
      <c r="A46" s="5" t="s">
        <v>106</v>
      </c>
    </row>
    <row r="47" spans="1:23" x14ac:dyDescent="0.25">
      <c r="A47" s="5" t="s">
        <v>107</v>
      </c>
      <c r="L47" s="1" t="s">
        <v>101</v>
      </c>
    </row>
    <row r="48" spans="1:23" x14ac:dyDescent="0.25">
      <c r="A48" s="5" t="s">
        <v>108</v>
      </c>
    </row>
    <row r="49" spans="1:12" x14ac:dyDescent="0.25">
      <c r="L49" s="1" t="s">
        <v>102</v>
      </c>
    </row>
    <row r="50" spans="1:12" x14ac:dyDescent="0.25">
      <c r="A50" s="77" t="s">
        <v>110</v>
      </c>
    </row>
    <row r="51" spans="1:12" x14ac:dyDescent="0.25">
      <c r="A51" s="5" t="s">
        <v>112</v>
      </c>
    </row>
    <row r="52" spans="1:12" x14ac:dyDescent="0.25">
      <c r="A52" s="5" t="s">
        <v>113</v>
      </c>
    </row>
    <row r="53" spans="1:12" x14ac:dyDescent="0.25">
      <c r="A53" s="5" t="s">
        <v>114</v>
      </c>
    </row>
    <row r="54" spans="1:12" x14ac:dyDescent="0.25">
      <c r="A54" s="5" t="s">
        <v>115</v>
      </c>
    </row>
    <row r="55" spans="1:12" x14ac:dyDescent="0.25">
      <c r="A55" s="5" t="s">
        <v>109</v>
      </c>
    </row>
    <row r="56" spans="1:12" x14ac:dyDescent="0.25">
      <c r="A56" s="5" t="s">
        <v>116</v>
      </c>
    </row>
    <row r="57" spans="1:12" x14ac:dyDescent="0.25">
      <c r="A57" s="5" t="s">
        <v>117</v>
      </c>
    </row>
    <row r="64" spans="1:12" x14ac:dyDescent="0.25">
      <c r="A64" s="5" t="s">
        <v>108</v>
      </c>
    </row>
    <row r="66" spans="1:1" x14ac:dyDescent="0.25">
      <c r="A66" s="77" t="s">
        <v>110</v>
      </c>
    </row>
    <row r="67" spans="1:1" x14ac:dyDescent="0.25">
      <c r="A67" s="5" t="s">
        <v>112</v>
      </c>
    </row>
    <row r="68" spans="1:1" x14ac:dyDescent="0.25">
      <c r="A68" s="5" t="s">
        <v>113</v>
      </c>
    </row>
    <row r="69" spans="1:1" x14ac:dyDescent="0.25">
      <c r="A69" s="5" t="s">
        <v>114</v>
      </c>
    </row>
    <row r="70" spans="1:1" x14ac:dyDescent="0.25">
      <c r="A70" s="5" t="s">
        <v>115</v>
      </c>
    </row>
    <row r="71" spans="1:1" x14ac:dyDescent="0.25">
      <c r="A71" s="5" t="s">
        <v>109</v>
      </c>
    </row>
    <row r="72" spans="1:1" x14ac:dyDescent="0.25">
      <c r="A72" s="5" t="s">
        <v>116</v>
      </c>
    </row>
    <row r="73" spans="1:1" x14ac:dyDescent="0.25">
      <c r="A73" s="5" t="s">
        <v>117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0" sqref="G30"/>
    </sheetView>
  </sheetViews>
  <sheetFormatPr defaultRowHeight="14.4" x14ac:dyDescent="0.3"/>
  <cols>
    <col min="1" max="1" width="26" customWidth="1"/>
    <col min="2" max="6" width="5.44140625" customWidth="1"/>
    <col min="16" max="16" width="8.88671875" style="170"/>
  </cols>
  <sheetData>
    <row r="1" spans="1:16" x14ac:dyDescent="0.3">
      <c r="A1" s="43" t="s">
        <v>70</v>
      </c>
      <c r="B1" s="3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71"/>
    </row>
    <row r="2" spans="1:16" x14ac:dyDescent="0.3">
      <c r="A2" s="9"/>
      <c r="B2" s="172">
        <v>2010</v>
      </c>
      <c r="C2" s="172">
        <v>2011</v>
      </c>
      <c r="D2" s="172">
        <v>2012</v>
      </c>
      <c r="E2" s="172">
        <v>2013</v>
      </c>
      <c r="F2" s="172">
        <v>2014</v>
      </c>
      <c r="G2" s="169">
        <v>2015</v>
      </c>
      <c r="H2" s="169">
        <v>2016</v>
      </c>
      <c r="I2" s="169">
        <v>2017</v>
      </c>
      <c r="J2" s="169">
        <v>2018</v>
      </c>
      <c r="K2" s="169">
        <v>2019</v>
      </c>
      <c r="L2" s="169">
        <v>2020</v>
      </c>
      <c r="M2" s="169">
        <v>2021</v>
      </c>
      <c r="N2" s="169">
        <v>2022</v>
      </c>
      <c r="O2" s="169">
        <v>2023</v>
      </c>
    </row>
    <row r="3" spans="1:16" x14ac:dyDescent="0.3">
      <c r="A3" s="18" t="s">
        <v>23</v>
      </c>
      <c r="B3" s="17"/>
      <c r="C3" s="17"/>
      <c r="D3" s="17"/>
      <c r="E3" s="17"/>
      <c r="F3" s="17"/>
      <c r="G3" s="5"/>
      <c r="H3" s="5"/>
      <c r="I3" s="5"/>
      <c r="J3" s="5"/>
      <c r="K3" s="5"/>
      <c r="L3" s="5"/>
      <c r="M3" s="5"/>
      <c r="N3" s="5"/>
      <c r="O3" s="5"/>
    </row>
    <row r="4" spans="1:16" x14ac:dyDescent="0.3">
      <c r="A4" s="8" t="s">
        <v>3</v>
      </c>
      <c r="B4" s="20">
        <v>137.80000000000001</v>
      </c>
      <c r="C4" s="20">
        <v>143.5</v>
      </c>
      <c r="D4" s="20">
        <v>149.5</v>
      </c>
      <c r="E4" s="20">
        <v>155.30000000000001</v>
      </c>
      <c r="F4" s="20">
        <v>161.9</v>
      </c>
      <c r="G4" s="80">
        <f>F4*0.9</f>
        <v>145.71</v>
      </c>
      <c r="H4" s="80">
        <f t="shared" ref="H4" si="0">G4*0.9</f>
        <v>131.13900000000001</v>
      </c>
      <c r="I4" s="80">
        <f>H4*1.09</f>
        <v>142.94151000000002</v>
      </c>
      <c r="J4" s="80">
        <f t="shared" ref="J4:K4" si="1">I4*1.09</f>
        <v>155.80624590000002</v>
      </c>
      <c r="K4" s="80">
        <f t="shared" si="1"/>
        <v>169.82880803100002</v>
      </c>
      <c r="L4" s="80">
        <f>K4*1.45</f>
        <v>246.25177164495003</v>
      </c>
      <c r="M4" s="80">
        <f t="shared" ref="M4:O4" si="2">L4*1.45</f>
        <v>357.06506888517754</v>
      </c>
      <c r="N4" s="80">
        <f t="shared" si="2"/>
        <v>517.74434988350743</v>
      </c>
      <c r="O4" s="80">
        <f t="shared" si="2"/>
        <v>750.72930733108569</v>
      </c>
    </row>
    <row r="5" spans="1:16" x14ac:dyDescent="0.3">
      <c r="A5" s="10" t="s">
        <v>11</v>
      </c>
      <c r="B5" s="22">
        <v>126.1</v>
      </c>
      <c r="C5" s="22">
        <v>131.5</v>
      </c>
      <c r="D5" s="22">
        <v>137.1</v>
      </c>
      <c r="E5" s="22">
        <v>142.5</v>
      </c>
      <c r="F5" s="22">
        <v>148.6</v>
      </c>
      <c r="G5" s="80">
        <f>G4-G6</f>
        <v>133.32465000000002</v>
      </c>
      <c r="H5" s="80">
        <f t="shared" ref="H5:O5" si="3">H4-H6</f>
        <v>119.99218500000001</v>
      </c>
      <c r="I5" s="80">
        <f t="shared" si="3"/>
        <v>130.07677410000002</v>
      </c>
      <c r="J5" s="80">
        <f t="shared" si="3"/>
        <v>142.56271499850001</v>
      </c>
      <c r="K5" s="80">
        <f t="shared" si="3"/>
        <v>153.69507126805502</v>
      </c>
      <c r="L5" s="80">
        <f t="shared" si="3"/>
        <v>222.85785333867977</v>
      </c>
      <c r="M5" s="80">
        <f t="shared" si="3"/>
        <v>323.1438873410857</v>
      </c>
      <c r="N5" s="80">
        <f t="shared" si="3"/>
        <v>468.55863664457422</v>
      </c>
      <c r="O5" s="80">
        <f t="shared" si="3"/>
        <v>679.41002313463252</v>
      </c>
    </row>
    <row r="6" spans="1:16" x14ac:dyDescent="0.3">
      <c r="A6" s="8" t="s">
        <v>15</v>
      </c>
      <c r="B6" s="20">
        <v>11.700000000000017</v>
      </c>
      <c r="C6" s="20">
        <v>12</v>
      </c>
      <c r="D6" s="20">
        <v>12.400000000000006</v>
      </c>
      <c r="E6" s="20">
        <v>12.800000000000011</v>
      </c>
      <c r="F6" s="20">
        <v>13.300000000000011</v>
      </c>
      <c r="G6" s="81">
        <f>G4*0.085</f>
        <v>12.385350000000001</v>
      </c>
      <c r="H6" s="81">
        <f t="shared" ref="H6:J6" si="4">H4*0.085</f>
        <v>11.146815000000002</v>
      </c>
      <c r="I6" s="81">
        <f>I4*0.09</f>
        <v>12.864735900000001</v>
      </c>
      <c r="J6" s="81">
        <f t="shared" si="4"/>
        <v>13.243530901500003</v>
      </c>
      <c r="K6" s="81">
        <f>K4*0.095</f>
        <v>16.133736762945002</v>
      </c>
      <c r="L6" s="81">
        <f t="shared" ref="L6:O6" si="5">L4*0.095</f>
        <v>23.393918306270251</v>
      </c>
      <c r="M6" s="81">
        <f t="shared" si="5"/>
        <v>33.921181544091866</v>
      </c>
      <c r="N6" s="81">
        <f t="shared" si="5"/>
        <v>49.185713238933204</v>
      </c>
      <c r="O6" s="81">
        <f t="shared" si="5"/>
        <v>71.31928419645314</v>
      </c>
    </row>
    <row r="7" spans="1:16" x14ac:dyDescent="0.3">
      <c r="A7" s="11" t="s">
        <v>20</v>
      </c>
      <c r="B7" s="20">
        <v>2.9</v>
      </c>
      <c r="C7" s="20">
        <v>2.9</v>
      </c>
      <c r="D7" s="20">
        <v>2.9</v>
      </c>
      <c r="E7" s="20">
        <v>3</v>
      </c>
      <c r="F7" s="20">
        <v>3</v>
      </c>
      <c r="G7" s="80">
        <f>G4*0.02</f>
        <v>2.9142000000000001</v>
      </c>
      <c r="H7" s="80">
        <f t="shared" ref="H7:O7" si="6">H4*0.02</f>
        <v>2.6227800000000001</v>
      </c>
      <c r="I7" s="80">
        <f t="shared" si="6"/>
        <v>2.8588302000000003</v>
      </c>
      <c r="J7" s="80">
        <f t="shared" si="6"/>
        <v>3.1161249180000006</v>
      </c>
      <c r="K7" s="80">
        <f t="shared" si="6"/>
        <v>3.3965761606200005</v>
      </c>
      <c r="L7" s="80">
        <f t="shared" si="6"/>
        <v>4.9250354328990005</v>
      </c>
      <c r="M7" s="80">
        <f t="shared" si="6"/>
        <v>7.1413013777035506</v>
      </c>
      <c r="N7" s="80">
        <f t="shared" si="6"/>
        <v>10.354886997670148</v>
      </c>
      <c r="O7" s="80">
        <f t="shared" si="6"/>
        <v>15.014586146621713</v>
      </c>
    </row>
    <row r="8" spans="1:16" x14ac:dyDescent="0.3">
      <c r="A8" s="10" t="s">
        <v>13</v>
      </c>
      <c r="B8" s="22">
        <v>1.8</v>
      </c>
      <c r="C8" s="22">
        <v>2.2000000000000002</v>
      </c>
      <c r="D8" s="22">
        <v>2.5</v>
      </c>
      <c r="E8" s="22">
        <v>2.8</v>
      </c>
      <c r="F8" s="22">
        <v>2.9</v>
      </c>
      <c r="G8" s="84">
        <f>F8+0.2</f>
        <v>3.1</v>
      </c>
      <c r="H8" s="84">
        <f t="shared" ref="H8:O8" si="7">G8+0.2</f>
        <v>3.3000000000000003</v>
      </c>
      <c r="I8" s="84">
        <f t="shared" si="7"/>
        <v>3.5000000000000004</v>
      </c>
      <c r="J8" s="84">
        <f t="shared" si="7"/>
        <v>3.7000000000000006</v>
      </c>
      <c r="K8" s="84">
        <f t="shared" si="7"/>
        <v>3.9000000000000008</v>
      </c>
      <c r="L8" s="84">
        <f t="shared" si="7"/>
        <v>4.1000000000000005</v>
      </c>
      <c r="M8" s="84">
        <f t="shared" si="7"/>
        <v>4.3000000000000007</v>
      </c>
      <c r="N8" s="84">
        <f t="shared" si="7"/>
        <v>4.5000000000000009</v>
      </c>
      <c r="O8" s="84">
        <f t="shared" si="7"/>
        <v>4.7000000000000011</v>
      </c>
    </row>
    <row r="9" spans="1:16" x14ac:dyDescent="0.3">
      <c r="A9" s="11" t="s">
        <v>16</v>
      </c>
      <c r="B9" s="20">
        <v>7.0000000000000169</v>
      </c>
      <c r="C9" s="20">
        <v>6.8999999999999995</v>
      </c>
      <c r="D9" s="20">
        <v>7.0000000000000053</v>
      </c>
      <c r="E9" s="20">
        <v>7.0000000000000115</v>
      </c>
      <c r="F9" s="20">
        <v>7.400000000000011</v>
      </c>
      <c r="G9" s="82">
        <f>G6-SUM(G7:G8)</f>
        <v>6.3711500000000001</v>
      </c>
      <c r="H9" s="82">
        <f t="shared" ref="H9:O9" si="8">H6-SUM(H7:H8)</f>
        <v>5.2240350000000015</v>
      </c>
      <c r="I9" s="82">
        <f t="shared" si="8"/>
        <v>6.5059057000000005</v>
      </c>
      <c r="J9" s="82">
        <f t="shared" si="8"/>
        <v>6.4274059835000017</v>
      </c>
      <c r="K9" s="82">
        <f t="shared" si="8"/>
        <v>8.8371606023250013</v>
      </c>
      <c r="L9" s="82">
        <f t="shared" si="8"/>
        <v>14.36888287337125</v>
      </c>
      <c r="M9" s="82">
        <f t="shared" si="8"/>
        <v>22.479880166388313</v>
      </c>
      <c r="N9" s="82">
        <f t="shared" si="8"/>
        <v>34.330826241263054</v>
      </c>
      <c r="O9" s="82">
        <f t="shared" si="8"/>
        <v>51.604698049831427</v>
      </c>
    </row>
    <row r="10" spans="1:16" ht="15" x14ac:dyDescent="0.3">
      <c r="A10" s="12" t="s">
        <v>60</v>
      </c>
      <c r="B10" s="23">
        <v>0.38699999999999996</v>
      </c>
      <c r="C10" s="23">
        <v>0.36449999999999999</v>
      </c>
      <c r="D10" s="23">
        <v>0.40949999999999998</v>
      </c>
      <c r="E10" s="23">
        <v>0.39150000000000001</v>
      </c>
      <c r="F10" s="23">
        <v>0.3735</v>
      </c>
      <c r="G10" s="83">
        <f>G32*5.5%+$F$10</f>
        <v>7.3747532005244425</v>
      </c>
      <c r="H10" s="83">
        <f t="shared" ref="H10:L10" si="9">H32*5.5%+$F$10</f>
        <v>6.9001278804719988</v>
      </c>
      <c r="I10" s="83">
        <f t="shared" si="9"/>
        <v>6.9304784094428147</v>
      </c>
      <c r="J10" s="83">
        <f t="shared" si="9"/>
        <v>6.9680560347887806</v>
      </c>
      <c r="K10" s="83">
        <f t="shared" si="9"/>
        <v>7.001559918598244</v>
      </c>
      <c r="L10" s="83">
        <f t="shared" si="9"/>
        <v>7.2097118819674542</v>
      </c>
      <c r="M10" s="83">
        <v>0.4</v>
      </c>
      <c r="N10" s="83">
        <v>0.4</v>
      </c>
      <c r="O10" s="83">
        <v>0.4</v>
      </c>
    </row>
    <row r="11" spans="1:16" x14ac:dyDescent="0.3">
      <c r="A11" s="10" t="s">
        <v>14</v>
      </c>
      <c r="B11" s="22">
        <v>2.3145500000000059</v>
      </c>
      <c r="C11" s="22">
        <v>2.2874249999999998</v>
      </c>
      <c r="D11" s="22">
        <v>2.306675000000002</v>
      </c>
      <c r="E11" s="22">
        <v>2.3129750000000038</v>
      </c>
      <c r="F11" s="22">
        <v>2.4592750000000039</v>
      </c>
      <c r="G11" s="84">
        <f>G9*0.35</f>
        <v>2.2299024999999997</v>
      </c>
      <c r="H11" s="84">
        <f t="shared" ref="H11:O11" si="10">H9*0.35</f>
        <v>1.8284122500000004</v>
      </c>
      <c r="I11" s="84">
        <f t="shared" si="10"/>
        <v>2.2770669950000002</v>
      </c>
      <c r="J11" s="84">
        <f t="shared" si="10"/>
        <v>2.2495920942250005</v>
      </c>
      <c r="K11" s="84">
        <f t="shared" si="10"/>
        <v>3.0930062108137504</v>
      </c>
      <c r="L11" s="84">
        <f t="shared" si="10"/>
        <v>5.0291090056799375</v>
      </c>
      <c r="M11" s="84">
        <f t="shared" si="10"/>
        <v>7.8679580582359092</v>
      </c>
      <c r="N11" s="84">
        <f t="shared" si="10"/>
        <v>12.015789184442069</v>
      </c>
      <c r="O11" s="84">
        <f t="shared" si="10"/>
        <v>18.061644317440997</v>
      </c>
    </row>
    <row r="12" spans="1:16" x14ac:dyDescent="0.3">
      <c r="A12" s="14" t="s">
        <v>7</v>
      </c>
      <c r="B12" s="20">
        <v>4.2984500000000114</v>
      </c>
      <c r="C12" s="20">
        <v>4.248075</v>
      </c>
      <c r="D12" s="20">
        <v>4.2838250000000038</v>
      </c>
      <c r="E12" s="20">
        <v>4.2955250000000085</v>
      </c>
      <c r="F12" s="20">
        <v>4.5672250000000076</v>
      </c>
      <c r="G12" s="80">
        <f>G9-SUM(G10:G11)</f>
        <v>-3.233505700524443</v>
      </c>
      <c r="H12" s="80">
        <f t="shared" ref="H12:O12" si="11">H9-SUM(H10:H11)</f>
        <v>-3.5045051304719967</v>
      </c>
      <c r="I12" s="80">
        <f t="shared" si="11"/>
        <v>-2.7016397044428144</v>
      </c>
      <c r="J12" s="80">
        <f t="shared" si="11"/>
        <v>-2.7902421455137798</v>
      </c>
      <c r="K12" s="80">
        <f t="shared" si="11"/>
        <v>-1.257405527086993</v>
      </c>
      <c r="L12" s="80">
        <f t="shared" si="11"/>
        <v>2.1300619857238576</v>
      </c>
      <c r="M12" s="80">
        <f t="shared" si="11"/>
        <v>14.211922108152404</v>
      </c>
      <c r="N12" s="80">
        <f t="shared" si="11"/>
        <v>21.915037056820985</v>
      </c>
      <c r="O12" s="80">
        <f t="shared" si="11"/>
        <v>33.143053732390428</v>
      </c>
    </row>
    <row r="13" spans="1:16" x14ac:dyDescent="0.3">
      <c r="A13" s="14" t="s">
        <v>30</v>
      </c>
      <c r="B13" s="20">
        <f t="shared" ref="B13:F13" si="12">$B$18*B17</f>
        <v>0.84</v>
      </c>
      <c r="C13" s="20">
        <f t="shared" si="12"/>
        <v>0.84</v>
      </c>
      <c r="D13" s="20">
        <f t="shared" si="12"/>
        <v>0.84</v>
      </c>
      <c r="E13" s="20">
        <f t="shared" si="12"/>
        <v>0.84</v>
      </c>
      <c r="F13" s="20">
        <f t="shared" si="12"/>
        <v>0.84</v>
      </c>
      <c r="G13" s="20">
        <f>$B$18*G17</f>
        <v>0.84</v>
      </c>
      <c r="H13" s="20">
        <f t="shared" ref="H13:O13" si="13">$B$18*H17</f>
        <v>0.84</v>
      </c>
      <c r="I13" s="20">
        <f t="shared" si="13"/>
        <v>0.84</v>
      </c>
      <c r="J13" s="20">
        <f t="shared" si="13"/>
        <v>0.84</v>
      </c>
      <c r="K13" s="20">
        <f t="shared" si="13"/>
        <v>0.84</v>
      </c>
      <c r="L13" s="20">
        <f t="shared" si="13"/>
        <v>0.84</v>
      </c>
      <c r="M13" s="20">
        <f t="shared" si="13"/>
        <v>0.84</v>
      </c>
      <c r="N13" s="20">
        <f t="shared" si="13"/>
        <v>0.84</v>
      </c>
      <c r="O13" s="20">
        <f t="shared" si="13"/>
        <v>0.84</v>
      </c>
    </row>
    <row r="14" spans="1:16" x14ac:dyDescent="0.3">
      <c r="A14" s="27" t="s">
        <v>121</v>
      </c>
      <c r="B14" s="107">
        <f t="shared" ref="B14:E14" si="14">B12-B13</f>
        <v>3.4584500000000116</v>
      </c>
      <c r="C14" s="107">
        <f t="shared" si="14"/>
        <v>3.4080750000000002</v>
      </c>
      <c r="D14" s="107">
        <f t="shared" si="14"/>
        <v>3.4438250000000039</v>
      </c>
      <c r="E14" s="107">
        <f t="shared" si="14"/>
        <v>3.4555250000000086</v>
      </c>
      <c r="F14" s="107">
        <f>F12-F13</f>
        <v>3.7272250000000078</v>
      </c>
      <c r="G14" s="107">
        <f t="shared" ref="G14:O14" si="15">G12-G13</f>
        <v>-4.0735057005244428</v>
      </c>
      <c r="H14" s="107">
        <f t="shared" si="15"/>
        <v>-4.3445051304719966</v>
      </c>
      <c r="I14" s="107">
        <f t="shared" si="15"/>
        <v>-3.5416397044428143</v>
      </c>
      <c r="J14" s="107">
        <f t="shared" si="15"/>
        <v>-3.6302421455137797</v>
      </c>
      <c r="K14" s="107">
        <f t="shared" si="15"/>
        <v>-2.0974055270869929</v>
      </c>
      <c r="L14" s="107">
        <f t="shared" si="15"/>
        <v>1.2900619857238578</v>
      </c>
      <c r="M14" s="107">
        <f t="shared" si="15"/>
        <v>13.371922108152404</v>
      </c>
      <c r="N14" s="107">
        <f t="shared" si="15"/>
        <v>21.075037056820985</v>
      </c>
      <c r="O14" s="107">
        <f t="shared" si="15"/>
        <v>32.303053732390424</v>
      </c>
    </row>
    <row r="15" spans="1:16" x14ac:dyDescent="0.3">
      <c r="A15" s="14"/>
      <c r="B15" s="20"/>
      <c r="C15" s="20"/>
      <c r="D15" s="20"/>
      <c r="E15" s="20"/>
      <c r="F15" s="20"/>
      <c r="G15" s="80"/>
      <c r="H15" s="80"/>
      <c r="I15" s="80"/>
      <c r="J15" s="80"/>
      <c r="K15" s="80"/>
      <c r="L15" s="80"/>
      <c r="M15" s="80"/>
      <c r="N15" s="80"/>
      <c r="O15" s="80"/>
    </row>
    <row r="16" spans="1:16" x14ac:dyDescent="0.3">
      <c r="A16" s="14" t="s">
        <v>29</v>
      </c>
      <c r="B16" s="167">
        <v>1.2281285714285748</v>
      </c>
      <c r="C16" s="167">
        <v>1.2137357142857144</v>
      </c>
      <c r="D16" s="167">
        <v>1.223950000000001</v>
      </c>
      <c r="E16" s="167">
        <v>1.2272928571428596</v>
      </c>
      <c r="F16" s="167">
        <v>1.3049214285714308</v>
      </c>
      <c r="G16" s="168">
        <f>G12/$B$18</f>
        <v>-0.92385877157841223</v>
      </c>
      <c r="H16" s="168">
        <f t="shared" ref="H16:O16" si="16">H12/$B$18</f>
        <v>-1.0012871801348562</v>
      </c>
      <c r="I16" s="168">
        <f t="shared" si="16"/>
        <v>-0.77189705841223266</v>
      </c>
      <c r="J16" s="168">
        <f t="shared" si="16"/>
        <v>-0.79721204157536563</v>
      </c>
      <c r="K16" s="168">
        <f t="shared" si="16"/>
        <v>-0.35925872202485515</v>
      </c>
      <c r="L16" s="168">
        <f t="shared" si="16"/>
        <v>0.60858913877824505</v>
      </c>
      <c r="M16" s="168">
        <f t="shared" si="16"/>
        <v>4.0605491737578294</v>
      </c>
      <c r="N16" s="168">
        <f t="shared" si="16"/>
        <v>6.2614391590917098</v>
      </c>
      <c r="O16" s="168">
        <f t="shared" si="16"/>
        <v>9.4694439235401227</v>
      </c>
    </row>
    <row r="17" spans="1:22" x14ac:dyDescent="0.3">
      <c r="A17" s="14" t="s">
        <v>30</v>
      </c>
      <c r="B17" s="167">
        <v>0.24</v>
      </c>
      <c r="C17" s="167">
        <v>0.24</v>
      </c>
      <c r="D17" s="167">
        <v>0.24</v>
      </c>
      <c r="E17" s="167">
        <v>0.24</v>
      </c>
      <c r="F17" s="167">
        <v>0.24</v>
      </c>
      <c r="G17" s="167">
        <v>0.24</v>
      </c>
      <c r="H17" s="167">
        <v>0.24</v>
      </c>
      <c r="I17" s="167">
        <v>0.24</v>
      </c>
      <c r="J17" s="167">
        <v>0.24</v>
      </c>
      <c r="K17" s="167">
        <v>0.24</v>
      </c>
      <c r="L17" s="167">
        <v>0.24</v>
      </c>
      <c r="M17" s="167">
        <v>0.24</v>
      </c>
      <c r="N17" s="167">
        <v>0.24</v>
      </c>
      <c r="O17" s="167">
        <v>0.24</v>
      </c>
    </row>
    <row r="18" spans="1:22" x14ac:dyDescent="0.3">
      <c r="A18" s="1" t="s">
        <v>120</v>
      </c>
      <c r="B18" s="1">
        <v>3.5</v>
      </c>
      <c r="C18" s="1"/>
      <c r="D18" s="1"/>
      <c r="E18" s="21"/>
      <c r="F18" s="21"/>
      <c r="G18" s="105"/>
      <c r="H18" s="105"/>
      <c r="I18" s="5"/>
      <c r="J18" s="5"/>
      <c r="K18" s="5"/>
      <c r="L18" s="5"/>
      <c r="M18" s="5"/>
      <c r="N18" s="5"/>
      <c r="O18" s="5"/>
    </row>
    <row r="19" spans="1:22" ht="15" thickBot="1" x14ac:dyDescent="0.35">
      <c r="A19" s="14"/>
      <c r="B19" s="34"/>
      <c r="C19" s="34"/>
      <c r="D19" s="34"/>
      <c r="E19" s="34"/>
      <c r="F19" s="34"/>
      <c r="G19" s="105"/>
      <c r="H19" s="5"/>
      <c r="I19" s="5"/>
      <c r="J19" s="5"/>
      <c r="K19" s="5"/>
      <c r="L19" s="5"/>
      <c r="M19" s="5"/>
      <c r="N19" s="5"/>
      <c r="O19" s="5"/>
    </row>
    <row r="20" spans="1:22" ht="15" thickBot="1" x14ac:dyDescent="0.35">
      <c r="A20" s="18" t="s">
        <v>24</v>
      </c>
      <c r="B20" s="15"/>
      <c r="C20" s="15"/>
      <c r="D20" s="15"/>
      <c r="E20" s="15"/>
      <c r="F20" s="15"/>
      <c r="G20" s="5"/>
      <c r="H20" s="5"/>
      <c r="I20" s="5"/>
      <c r="J20" s="5"/>
      <c r="K20" s="5"/>
      <c r="L20" s="5"/>
      <c r="M20" s="5"/>
      <c r="N20" s="5"/>
      <c r="O20" s="5"/>
      <c r="Q20" s="113">
        <v>2010</v>
      </c>
      <c r="R20" s="114">
        <v>2011</v>
      </c>
      <c r="S20" s="114">
        <v>2012</v>
      </c>
      <c r="T20" s="114">
        <v>2013</v>
      </c>
      <c r="U20" s="115">
        <v>2014</v>
      </c>
      <c r="V20" s="111" t="s">
        <v>119</v>
      </c>
    </row>
    <row r="21" spans="1:22" x14ac:dyDescent="0.3">
      <c r="A21" s="11" t="s">
        <v>21</v>
      </c>
      <c r="B21" s="26">
        <v>1.8</v>
      </c>
      <c r="C21" s="26">
        <v>1.0205749999999973</v>
      </c>
      <c r="D21" s="26">
        <v>1.9269000000000043</v>
      </c>
      <c r="E21" s="26">
        <v>1.4999250000000091</v>
      </c>
      <c r="F21" s="26">
        <v>2.0796500000000187</v>
      </c>
      <c r="G21" s="80">
        <f>G4*$V$21</f>
        <v>1.6193309022507363</v>
      </c>
      <c r="H21" s="80">
        <f t="shared" ref="H21:O21" si="17">H4*$V$21</f>
        <v>1.4573978120256625</v>
      </c>
      <c r="I21" s="80">
        <f t="shared" si="17"/>
        <v>1.5885636151079723</v>
      </c>
      <c r="J21" s="80">
        <f t="shared" si="17"/>
        <v>1.7315343404676897</v>
      </c>
      <c r="K21" s="80">
        <f t="shared" si="17"/>
        <v>1.8873724311097819</v>
      </c>
      <c r="L21" s="80">
        <f t="shared" si="17"/>
        <v>2.7366900251091835</v>
      </c>
      <c r="M21" s="80">
        <f t="shared" si="17"/>
        <v>3.9682005364083164</v>
      </c>
      <c r="N21" s="80">
        <f t="shared" si="17"/>
        <v>5.7538907777920585</v>
      </c>
      <c r="O21" s="80">
        <f t="shared" si="17"/>
        <v>8.3431416277984844</v>
      </c>
      <c r="Q21" s="120">
        <f>B21/$B$4</f>
        <v>1.3062409288824382E-2</v>
      </c>
      <c r="R21" s="121">
        <f t="shared" ref="R21:U21" si="18">C21/C4</f>
        <v>7.1120209059233261E-3</v>
      </c>
      <c r="S21" s="121">
        <f t="shared" si="18"/>
        <v>1.288896321070237E-2</v>
      </c>
      <c r="T21" s="121">
        <f t="shared" si="18"/>
        <v>9.6582421120412678E-3</v>
      </c>
      <c r="U21" s="122">
        <f t="shared" si="18"/>
        <v>1.2845274861025439E-2</v>
      </c>
      <c r="V21" s="132">
        <f>AVERAGE(Q21:U21)</f>
        <v>1.1113382075703357E-2</v>
      </c>
    </row>
    <row r="22" spans="1:22" x14ac:dyDescent="0.3">
      <c r="A22" s="11" t="s">
        <v>8</v>
      </c>
      <c r="B22" s="26">
        <v>13.1</v>
      </c>
      <c r="C22" s="26">
        <v>13.5</v>
      </c>
      <c r="D22" s="26">
        <v>14.6</v>
      </c>
      <c r="E22" s="26">
        <v>15.2</v>
      </c>
      <c r="F22" s="26">
        <v>16.2</v>
      </c>
      <c r="G22" s="80">
        <f>G4*$V$22</f>
        <v>14.126225382751752</v>
      </c>
      <c r="H22" s="80">
        <f t="shared" ref="H22:O22" si="19">H4*$V$22</f>
        <v>12.713602844476577</v>
      </c>
      <c r="I22" s="80">
        <f t="shared" si="19"/>
        <v>13.85782710047947</v>
      </c>
      <c r="J22" s="80">
        <f t="shared" si="19"/>
        <v>15.105031539522622</v>
      </c>
      <c r="K22" s="80">
        <f t="shared" si="19"/>
        <v>16.464484378079657</v>
      </c>
      <c r="L22" s="80">
        <f t="shared" si="19"/>
        <v>23.873502348215503</v>
      </c>
      <c r="M22" s="80">
        <f t="shared" si="19"/>
        <v>34.616578404912481</v>
      </c>
      <c r="N22" s="80">
        <f t="shared" si="19"/>
        <v>50.194038687123097</v>
      </c>
      <c r="O22" s="80">
        <f t="shared" si="19"/>
        <v>72.78135609632848</v>
      </c>
      <c r="Q22" s="123">
        <f>B22/B4</f>
        <v>9.5065312046444111E-2</v>
      </c>
      <c r="R22" s="118">
        <f t="shared" ref="R22:U22" si="20">C22/C4</f>
        <v>9.4076655052264813E-2</v>
      </c>
      <c r="S22" s="118">
        <f t="shared" si="20"/>
        <v>9.7658862876254179E-2</v>
      </c>
      <c r="T22" s="118">
        <f t="shared" si="20"/>
        <v>9.7875080489375391E-2</v>
      </c>
      <c r="U22" s="124">
        <f t="shared" si="20"/>
        <v>0.10006176652254477</v>
      </c>
      <c r="V22" s="119">
        <f t="shared" ref="V22:V23" si="21">AVERAGE(Q22:U22)</f>
        <v>9.6947535397376647E-2</v>
      </c>
    </row>
    <row r="23" spans="1:22" x14ac:dyDescent="0.3">
      <c r="A23" s="13" t="s">
        <v>22</v>
      </c>
      <c r="B23" s="25">
        <v>2.8</v>
      </c>
      <c r="C23" s="25">
        <v>4</v>
      </c>
      <c r="D23" s="25">
        <v>4.0999999999999996</v>
      </c>
      <c r="E23" s="25">
        <v>4.2</v>
      </c>
      <c r="F23" s="25">
        <v>4.2</v>
      </c>
      <c r="G23" s="80">
        <f>G4*$V$23</f>
        <v>3.7478065185066991</v>
      </c>
      <c r="H23" s="80">
        <f t="shared" ref="H23:O23" si="22">H4*$V$23</f>
        <v>3.3730258666560293</v>
      </c>
      <c r="I23" s="80">
        <f t="shared" si="22"/>
        <v>3.6765981946550723</v>
      </c>
      <c r="J23" s="80">
        <f t="shared" si="22"/>
        <v>4.0074920321740288</v>
      </c>
      <c r="K23" s="80">
        <f t="shared" si="22"/>
        <v>4.3681663150696917</v>
      </c>
      <c r="L23" s="80">
        <f t="shared" si="22"/>
        <v>6.3338411568510526</v>
      </c>
      <c r="M23" s="80">
        <f t="shared" si="22"/>
        <v>9.1840696774340262</v>
      </c>
      <c r="N23" s="80">
        <f t="shared" si="22"/>
        <v>13.316901032279338</v>
      </c>
      <c r="O23" s="80">
        <f t="shared" si="22"/>
        <v>19.309506496805039</v>
      </c>
      <c r="Q23" s="123">
        <f>B23/B4</f>
        <v>2.0319303338171259E-2</v>
      </c>
      <c r="R23" s="118">
        <f t="shared" ref="R23:U23" si="23">C23/C4</f>
        <v>2.7874564459930314E-2</v>
      </c>
      <c r="S23" s="118">
        <f t="shared" si="23"/>
        <v>2.7424749163879596E-2</v>
      </c>
      <c r="T23" s="118">
        <f t="shared" si="23"/>
        <v>2.7044430135222151E-2</v>
      </c>
      <c r="U23" s="124">
        <f t="shared" si="23"/>
        <v>2.5941939468807906E-2</v>
      </c>
      <c r="V23" s="119">
        <f t="shared" si="21"/>
        <v>2.5720997313202244E-2</v>
      </c>
    </row>
    <row r="24" spans="1:22" x14ac:dyDescent="0.3">
      <c r="A24" s="11" t="s">
        <v>0</v>
      </c>
      <c r="B24" s="24">
        <v>17.7</v>
      </c>
      <c r="C24" s="24">
        <v>18.520574999999997</v>
      </c>
      <c r="D24" s="24">
        <v>20.626900000000006</v>
      </c>
      <c r="E24" s="24">
        <v>20.899925000000007</v>
      </c>
      <c r="F24" s="24">
        <v>22.479650000000017</v>
      </c>
      <c r="G24" s="81">
        <f>SUM(G21:G23)</f>
        <v>19.493362803509186</v>
      </c>
      <c r="H24" s="81">
        <f t="shared" ref="H24:O24" si="24">SUM(H21:H23)</f>
        <v>17.544026523158269</v>
      </c>
      <c r="I24" s="81">
        <f t="shared" si="24"/>
        <v>19.122988910242515</v>
      </c>
      <c r="J24" s="81">
        <f t="shared" si="24"/>
        <v>20.844057912164342</v>
      </c>
      <c r="K24" s="81">
        <f t="shared" si="24"/>
        <v>22.720023124259129</v>
      </c>
      <c r="L24" s="81">
        <f t="shared" si="24"/>
        <v>32.944033530175737</v>
      </c>
      <c r="M24" s="81">
        <f t="shared" si="24"/>
        <v>47.768848618754824</v>
      </c>
      <c r="N24" s="81">
        <f t="shared" si="24"/>
        <v>69.264830497194495</v>
      </c>
      <c r="O24" s="81">
        <f t="shared" si="24"/>
        <v>100.43400422093201</v>
      </c>
      <c r="Q24" s="125"/>
      <c r="R24" s="116"/>
      <c r="S24" s="116"/>
      <c r="T24" s="116"/>
      <c r="U24" s="126"/>
      <c r="V24" s="117"/>
    </row>
    <row r="25" spans="1:22" x14ac:dyDescent="0.3">
      <c r="A25" s="11" t="s">
        <v>12</v>
      </c>
      <c r="B25" s="24">
        <v>16</v>
      </c>
      <c r="C25" s="24">
        <v>17.387499999999999</v>
      </c>
      <c r="D25" s="24">
        <v>18.625</v>
      </c>
      <c r="E25" s="24">
        <v>19.7075</v>
      </c>
      <c r="F25" s="24">
        <v>20.855</v>
      </c>
      <c r="G25" s="80">
        <f>$V$25*G4</f>
        <v>17.997315979674408</v>
      </c>
      <c r="H25" s="80">
        <f t="shared" ref="H25:O25" si="25">$V$25*H4</f>
        <v>16.197584381706967</v>
      </c>
      <c r="I25" s="80">
        <f t="shared" si="25"/>
        <v>17.655366976060595</v>
      </c>
      <c r="J25" s="80">
        <f t="shared" si="25"/>
        <v>19.24435000390605</v>
      </c>
      <c r="K25" s="80">
        <f t="shared" si="25"/>
        <v>20.976341504257594</v>
      </c>
      <c r="L25" s="80">
        <f t="shared" si="25"/>
        <v>30.415695181173511</v>
      </c>
      <c r="M25" s="80">
        <f t="shared" si="25"/>
        <v>44.102758012701592</v>
      </c>
      <c r="N25" s="80">
        <f t="shared" si="25"/>
        <v>63.948999118417305</v>
      </c>
      <c r="O25" s="80">
        <f t="shared" si="25"/>
        <v>92.726048721705084</v>
      </c>
      <c r="Q25" s="127">
        <f t="shared" ref="Q25:Q34" si="26">B25/$B$4</f>
        <v>0.11611030478955006</v>
      </c>
      <c r="R25" s="100">
        <f t="shared" ref="R25:R34" si="27">C25/$C$4</f>
        <v>0.12116724738675957</v>
      </c>
      <c r="S25" s="100">
        <f t="shared" ref="S25:S34" si="28">D25/$D$4</f>
        <v>0.1245819397993311</v>
      </c>
      <c r="T25" s="100">
        <f t="shared" ref="T25:T34" si="29">E25/$E$4</f>
        <v>0.12689954925949773</v>
      </c>
      <c r="U25" s="128">
        <f t="shared" ref="U25:U34" si="30">F25/$F$4</f>
        <v>0.12881408276714021</v>
      </c>
      <c r="V25" s="96">
        <f t="shared" ref="V25:V34" si="31">AVERAGE(Q25:U25)</f>
        <v>0.12351462480045575</v>
      </c>
    </row>
    <row r="26" spans="1:22" x14ac:dyDescent="0.3">
      <c r="A26" s="13" t="s">
        <v>18</v>
      </c>
      <c r="B26" s="25">
        <v>35.9</v>
      </c>
      <c r="C26" s="25">
        <v>38.6</v>
      </c>
      <c r="D26" s="25">
        <v>41.8</v>
      </c>
      <c r="E26" s="25">
        <v>43.2</v>
      </c>
      <c r="F26" s="25">
        <v>43.5</v>
      </c>
      <c r="G26" s="80">
        <f>G4*$V$26+120</f>
        <v>159.5155716653899</v>
      </c>
      <c r="H26" s="80">
        <f t="shared" ref="H26:O26" si="32">H4*$V$26+120</f>
        <v>155.5640144988509</v>
      </c>
      <c r="I26" s="80">
        <f t="shared" si="32"/>
        <v>158.76477580374751</v>
      </c>
      <c r="J26" s="80">
        <f t="shared" si="32"/>
        <v>162.25360562608478</v>
      </c>
      <c r="K26" s="80">
        <f t="shared" si="32"/>
        <v>166.05643013243241</v>
      </c>
      <c r="L26" s="80">
        <f t="shared" si="32"/>
        <v>186.78182369202699</v>
      </c>
      <c r="M26" s="80">
        <f t="shared" si="32"/>
        <v>216.83364435343913</v>
      </c>
      <c r="N26" s="80">
        <f t="shared" si="32"/>
        <v>260.40878431248672</v>
      </c>
      <c r="O26" s="80">
        <f t="shared" si="32"/>
        <v>323.59273725310572</v>
      </c>
      <c r="Q26" s="127">
        <f t="shared" si="26"/>
        <v>0.26052249637155295</v>
      </c>
      <c r="R26" s="100">
        <f t="shared" si="27"/>
        <v>0.26898954703832756</v>
      </c>
      <c r="S26" s="100">
        <f t="shared" si="28"/>
        <v>0.27959866220735785</v>
      </c>
      <c r="T26" s="100">
        <f t="shared" si="29"/>
        <v>0.2781712813908564</v>
      </c>
      <c r="U26" s="128">
        <f t="shared" si="30"/>
        <v>0.26868437306979615</v>
      </c>
      <c r="V26" s="96">
        <f t="shared" si="31"/>
        <v>0.27119327201557819</v>
      </c>
    </row>
    <row r="27" spans="1:22" x14ac:dyDescent="0.3">
      <c r="A27" s="11" t="s">
        <v>1</v>
      </c>
      <c r="B27" s="26">
        <v>69.599999999999994</v>
      </c>
      <c r="C27" s="26">
        <v>74.508074999999991</v>
      </c>
      <c r="D27" s="26">
        <v>81.051900000000003</v>
      </c>
      <c r="E27" s="26">
        <v>83.807425000000009</v>
      </c>
      <c r="F27" s="26">
        <v>86.834650000000011</v>
      </c>
      <c r="G27" s="81">
        <f>SUM(G24:G26)</f>
        <v>197.0062504485735</v>
      </c>
      <c r="H27" s="81">
        <f t="shared" ref="H27:O27" si="33">SUM(H24:H26)</f>
        <v>189.30562540371614</v>
      </c>
      <c r="I27" s="81">
        <f t="shared" si="33"/>
        <v>195.54313169005061</v>
      </c>
      <c r="J27" s="81">
        <f t="shared" si="33"/>
        <v>202.34201354215517</v>
      </c>
      <c r="K27" s="81">
        <f t="shared" si="33"/>
        <v>209.75279476094914</v>
      </c>
      <c r="L27" s="81">
        <f t="shared" si="33"/>
        <v>250.14155240337624</v>
      </c>
      <c r="M27" s="81">
        <f t="shared" si="33"/>
        <v>308.70525098489554</v>
      </c>
      <c r="N27" s="81">
        <f t="shared" si="33"/>
        <v>393.62261392809853</v>
      </c>
      <c r="O27" s="81">
        <f t="shared" si="33"/>
        <v>516.75279019574282</v>
      </c>
      <c r="Q27" s="127"/>
      <c r="R27" s="100"/>
      <c r="S27" s="100"/>
      <c r="T27" s="100"/>
      <c r="U27" s="128"/>
      <c r="V27" s="96"/>
    </row>
    <row r="28" spans="1:22" x14ac:dyDescent="0.3">
      <c r="A28" s="11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Q28" s="127"/>
      <c r="R28" s="100"/>
      <c r="S28" s="100"/>
      <c r="T28" s="100"/>
      <c r="U28" s="128"/>
      <c r="V28" s="96"/>
    </row>
    <row r="29" spans="1:22" x14ac:dyDescent="0.3">
      <c r="A29" s="11" t="s">
        <v>9</v>
      </c>
      <c r="B29" s="24">
        <v>9.3000000000000007</v>
      </c>
      <c r="C29" s="24">
        <v>9.9</v>
      </c>
      <c r="D29" s="24">
        <v>10.4</v>
      </c>
      <c r="E29" s="24">
        <v>11</v>
      </c>
      <c r="F29" s="24">
        <v>11.5</v>
      </c>
      <c r="G29" s="80">
        <f>G5*$V$29</f>
        <v>10.118678235609506</v>
      </c>
      <c r="H29" s="80">
        <f t="shared" ref="H29:O29" si="34">H5*$V$29</f>
        <v>9.1068104120485547</v>
      </c>
      <c r="I29" s="80">
        <f t="shared" si="34"/>
        <v>9.8721805985912159</v>
      </c>
      <c r="J29" s="80">
        <f t="shared" si="34"/>
        <v>10.819801450554889</v>
      </c>
      <c r="K29" s="80">
        <f t="shared" si="34"/>
        <v>11.664691957267618</v>
      </c>
      <c r="L29" s="80">
        <f t="shared" si="34"/>
        <v>16.913803338038047</v>
      </c>
      <c r="M29" s="80">
        <f t="shared" si="34"/>
        <v>24.525014840155169</v>
      </c>
      <c r="N29" s="80">
        <f t="shared" si="34"/>
        <v>35.561271518224991</v>
      </c>
      <c r="O29" s="80">
        <f t="shared" si="34"/>
        <v>51.563843701426229</v>
      </c>
      <c r="Q29" s="127">
        <f>B29/B5</f>
        <v>7.3750991276764488E-2</v>
      </c>
      <c r="R29" s="100">
        <f t="shared" ref="R29:U29" si="35">C29/C5</f>
        <v>7.5285171102661599E-2</v>
      </c>
      <c r="S29" s="100">
        <f t="shared" si="35"/>
        <v>7.5857038657913933E-2</v>
      </c>
      <c r="T29" s="100">
        <f t="shared" si="35"/>
        <v>7.7192982456140355E-2</v>
      </c>
      <c r="U29" s="128">
        <f t="shared" si="35"/>
        <v>7.7388963660834462E-2</v>
      </c>
      <c r="V29" s="96">
        <f t="shared" si="31"/>
        <v>7.5895029430862973E-2</v>
      </c>
    </row>
    <row r="30" spans="1:22" ht="15" x14ac:dyDescent="0.3">
      <c r="A30" s="13" t="s">
        <v>61</v>
      </c>
      <c r="B30" s="25">
        <v>0.4</v>
      </c>
      <c r="C30" s="25">
        <v>0.4</v>
      </c>
      <c r="D30" s="25">
        <v>0.4</v>
      </c>
      <c r="E30" s="25">
        <v>0.4</v>
      </c>
      <c r="F30" s="25">
        <v>0.4</v>
      </c>
      <c r="G30" s="87">
        <f>60/8+$F$30</f>
        <v>7.9</v>
      </c>
      <c r="H30" s="87">
        <f t="shared" ref="H30:N30" si="36">60/8+$F$30</f>
        <v>7.9</v>
      </c>
      <c r="I30" s="87">
        <f t="shared" si="36"/>
        <v>7.9</v>
      </c>
      <c r="J30" s="87">
        <f t="shared" si="36"/>
        <v>7.9</v>
      </c>
      <c r="K30" s="87">
        <f t="shared" si="36"/>
        <v>7.9</v>
      </c>
      <c r="L30" s="87">
        <f t="shared" si="36"/>
        <v>7.9</v>
      </c>
      <c r="M30" s="87">
        <f t="shared" si="36"/>
        <v>7.9</v>
      </c>
      <c r="N30" s="87">
        <f t="shared" si="36"/>
        <v>7.9</v>
      </c>
      <c r="O30" s="87">
        <f>60+F30</f>
        <v>60.4</v>
      </c>
      <c r="Q30" s="127">
        <f>B30/B5</f>
        <v>3.1720856463124509E-3</v>
      </c>
      <c r="R30" s="100">
        <f t="shared" si="27"/>
        <v>2.7874564459930314E-3</v>
      </c>
      <c r="S30" s="100">
        <f t="shared" si="28"/>
        <v>2.6755852842809368E-3</v>
      </c>
      <c r="T30" s="100">
        <f t="shared" si="29"/>
        <v>2.5756600128783E-3</v>
      </c>
      <c r="U30" s="128">
        <f t="shared" si="30"/>
        <v>2.4706609017912293E-3</v>
      </c>
      <c r="V30" s="96">
        <f t="shared" si="31"/>
        <v>2.7362896582511899E-3</v>
      </c>
    </row>
    <row r="31" spans="1:22" x14ac:dyDescent="0.3">
      <c r="A31" s="11" t="s">
        <v>6</v>
      </c>
      <c r="B31" s="24">
        <v>9.7000000000000011</v>
      </c>
      <c r="C31" s="24">
        <v>10.3</v>
      </c>
      <c r="D31" s="24">
        <v>10.8</v>
      </c>
      <c r="E31" s="24">
        <v>11.4</v>
      </c>
      <c r="F31" s="24">
        <v>11.9</v>
      </c>
      <c r="G31" s="80">
        <f>SUM(G29:G30)</f>
        <v>18.018678235609507</v>
      </c>
      <c r="H31" s="80">
        <f t="shared" ref="H31:O31" si="37">SUM(H29:H30)</f>
        <v>17.006810412048555</v>
      </c>
      <c r="I31" s="80">
        <f t="shared" si="37"/>
        <v>17.772180598591216</v>
      </c>
      <c r="J31" s="80">
        <f t="shared" si="37"/>
        <v>18.71980145055489</v>
      </c>
      <c r="K31" s="80">
        <f t="shared" si="37"/>
        <v>19.56469195726762</v>
      </c>
      <c r="L31" s="80">
        <f t="shared" si="37"/>
        <v>24.813803338038049</v>
      </c>
      <c r="M31" s="80">
        <f t="shared" si="37"/>
        <v>32.425014840155171</v>
      </c>
      <c r="N31" s="80">
        <f t="shared" si="37"/>
        <v>43.46127151822499</v>
      </c>
      <c r="O31" s="80">
        <f t="shared" si="37"/>
        <v>111.96384370142623</v>
      </c>
      <c r="Q31" s="127"/>
      <c r="R31" s="100"/>
      <c r="S31" s="100"/>
      <c r="T31" s="100"/>
      <c r="U31" s="128"/>
      <c r="V31" s="96"/>
    </row>
    <row r="32" spans="1:22" x14ac:dyDescent="0.3">
      <c r="A32" s="11" t="s">
        <v>5</v>
      </c>
      <c r="B32" s="24">
        <v>8.1999999999999993</v>
      </c>
      <c r="C32" s="24">
        <v>7.7</v>
      </c>
      <c r="D32" s="24">
        <v>8.6999999999999993</v>
      </c>
      <c r="E32" s="24">
        <v>8.3000000000000007</v>
      </c>
      <c r="F32" s="24">
        <v>7.9</v>
      </c>
      <c r="G32" s="88">
        <f>G5*$V$32+120</f>
        <v>127.29551273680805</v>
      </c>
      <c r="H32" s="88">
        <f>H5*$V$32+120-G30</f>
        <v>118.66596146312725</v>
      </c>
      <c r="I32" s="88">
        <f t="shared" ref="I32:O32" si="38">I5*$V$32+120-H30</f>
        <v>119.21778926259663</v>
      </c>
      <c r="J32" s="88">
        <f t="shared" si="38"/>
        <v>119.90101881434147</v>
      </c>
      <c r="K32" s="88">
        <f t="shared" si="38"/>
        <v>120.51018033814989</v>
      </c>
      <c r="L32" s="88">
        <f t="shared" si="38"/>
        <v>124.29476149031734</v>
      </c>
      <c r="M32" s="88">
        <f t="shared" si="38"/>
        <v>129.78240416096014</v>
      </c>
      <c r="N32" s="88">
        <f t="shared" si="38"/>
        <v>137.73948603339221</v>
      </c>
      <c r="O32" s="88">
        <f t="shared" si="38"/>
        <v>149.2772547484187</v>
      </c>
      <c r="Q32" s="127">
        <f t="shared" si="26"/>
        <v>5.95065312046444E-2</v>
      </c>
      <c r="R32" s="100">
        <f t="shared" si="27"/>
        <v>5.3658536585365853E-2</v>
      </c>
      <c r="S32" s="100">
        <f t="shared" si="28"/>
        <v>5.8193979933110367E-2</v>
      </c>
      <c r="T32" s="100">
        <f t="shared" si="29"/>
        <v>5.3444945267224729E-2</v>
      </c>
      <c r="U32" s="128">
        <f t="shared" si="30"/>
        <v>4.8795552810376779E-2</v>
      </c>
      <c r="V32" s="96">
        <f t="shared" si="31"/>
        <v>5.471990916014443E-2</v>
      </c>
    </row>
    <row r="33" spans="1:22" x14ac:dyDescent="0.3">
      <c r="A33" s="11" t="s">
        <v>59</v>
      </c>
      <c r="B33" s="24">
        <v>11.6</v>
      </c>
      <c r="C33" s="24">
        <v>12.8</v>
      </c>
      <c r="D33" s="24">
        <v>13.1</v>
      </c>
      <c r="E33" s="24">
        <v>13.3</v>
      </c>
      <c r="F33" s="24">
        <v>13</v>
      </c>
      <c r="G33" s="88">
        <f>G5*$V$33</f>
        <v>11.38435641325656</v>
      </c>
      <c r="H33" s="88">
        <f t="shared" ref="H33:O33" si="39">H5*$V$33</f>
        <v>10.245920771930903</v>
      </c>
      <c r="I33" s="88">
        <f t="shared" si="39"/>
        <v>11.107026025877884</v>
      </c>
      <c r="J33" s="88">
        <f t="shared" si="39"/>
        <v>12.173178469131106</v>
      </c>
      <c r="K33" s="88">
        <f t="shared" si="39"/>
        <v>13.12375071133812</v>
      </c>
      <c r="L33" s="88">
        <f t="shared" si="39"/>
        <v>19.029438531440274</v>
      </c>
      <c r="M33" s="88">
        <f t="shared" si="39"/>
        <v>27.592685870588397</v>
      </c>
      <c r="N33" s="88">
        <f t="shared" si="39"/>
        <v>40.009394512353175</v>
      </c>
      <c r="O33" s="88">
        <f t="shared" si="39"/>
        <v>58.013622042912097</v>
      </c>
      <c r="Q33" s="127">
        <f t="shared" si="26"/>
        <v>8.4179970972423787E-2</v>
      </c>
      <c r="R33" s="100">
        <f t="shared" si="27"/>
        <v>8.9198606271777003E-2</v>
      </c>
      <c r="S33" s="100">
        <f t="shared" si="28"/>
        <v>8.762541806020066E-2</v>
      </c>
      <c r="T33" s="100">
        <f t="shared" si="29"/>
        <v>8.5640695428203475E-2</v>
      </c>
      <c r="U33" s="128">
        <f t="shared" si="30"/>
        <v>8.0296479308214944E-2</v>
      </c>
      <c r="V33" s="96">
        <f t="shared" si="31"/>
        <v>8.5388234008163963E-2</v>
      </c>
    </row>
    <row r="34" spans="1:22" ht="15" thickBot="1" x14ac:dyDescent="0.35">
      <c r="A34" s="11" t="s">
        <v>44</v>
      </c>
      <c r="B34" s="24">
        <v>11</v>
      </c>
      <c r="C34" s="24">
        <v>11.2</v>
      </c>
      <c r="D34" s="24">
        <v>12.5</v>
      </c>
      <c r="E34" s="24">
        <v>11.4</v>
      </c>
      <c r="F34" s="24">
        <v>10.9</v>
      </c>
      <c r="G34" s="88">
        <f>G$5*$V$34</f>
        <v>10.191828883388032</v>
      </c>
      <c r="H34" s="88">
        <f t="shared" ref="H34:O34" si="40">H$5*$V$34</f>
        <v>9.1726459950492281</v>
      </c>
      <c r="I34" s="88">
        <f t="shared" si="40"/>
        <v>9.9435492486222188</v>
      </c>
      <c r="J34" s="88">
        <f t="shared" si="40"/>
        <v>10.898020706717988</v>
      </c>
      <c r="K34" s="88">
        <f t="shared" si="40"/>
        <v>11.749019154253508</v>
      </c>
      <c r="L34" s="88">
        <f t="shared" si="40"/>
        <v>17.036077773667586</v>
      </c>
      <c r="M34" s="88">
        <f t="shared" si="40"/>
        <v>24.702312771818001</v>
      </c>
      <c r="N34" s="88">
        <f t="shared" si="40"/>
        <v>35.818353519136103</v>
      </c>
      <c r="O34" s="88">
        <f t="shared" si="40"/>
        <v>51.936612602747338</v>
      </c>
      <c r="Q34" s="129">
        <f t="shared" si="26"/>
        <v>7.9825834542815666E-2</v>
      </c>
      <c r="R34" s="130">
        <f t="shared" si="27"/>
        <v>7.8048780487804878E-2</v>
      </c>
      <c r="S34" s="130">
        <f t="shared" si="28"/>
        <v>8.3612040133779264E-2</v>
      </c>
      <c r="T34" s="130">
        <f t="shared" si="29"/>
        <v>7.3406310367031546E-2</v>
      </c>
      <c r="U34" s="131">
        <f t="shared" si="30"/>
        <v>6.732550957381099E-2</v>
      </c>
      <c r="V34" s="97">
        <f t="shared" si="31"/>
        <v>7.6443695021048474E-2</v>
      </c>
    </row>
    <row r="35" spans="1:22" x14ac:dyDescent="0.3">
      <c r="A35" s="27" t="s">
        <v>10</v>
      </c>
      <c r="B35" s="28">
        <v>40.5</v>
      </c>
      <c r="C35" s="28">
        <v>42</v>
      </c>
      <c r="D35" s="28">
        <v>45.1</v>
      </c>
      <c r="E35" s="28">
        <v>44.4</v>
      </c>
      <c r="F35" s="28">
        <v>43.699999999999996</v>
      </c>
      <c r="G35" s="81">
        <f>SUM(G31:G34)</f>
        <v>166.89037626906216</v>
      </c>
      <c r="H35" s="81">
        <f t="shared" ref="H35:O35" si="41">SUM(H31:H34)</f>
        <v>155.09133864215596</v>
      </c>
      <c r="I35" s="81">
        <f t="shared" si="41"/>
        <v>158.04054513568792</v>
      </c>
      <c r="J35" s="81">
        <f t="shared" si="41"/>
        <v>161.69201944074547</v>
      </c>
      <c r="K35" s="81">
        <f t="shared" si="41"/>
        <v>164.94764216100916</v>
      </c>
      <c r="L35" s="81">
        <f t="shared" si="41"/>
        <v>185.17408113346323</v>
      </c>
      <c r="M35" s="81">
        <f t="shared" si="41"/>
        <v>214.50241764352171</v>
      </c>
      <c r="N35" s="81">
        <f t="shared" si="41"/>
        <v>257.02850558310644</v>
      </c>
      <c r="O35" s="81">
        <f t="shared" si="41"/>
        <v>371.19133309550438</v>
      </c>
      <c r="Q35" s="100"/>
      <c r="R35" s="100"/>
      <c r="S35" s="100"/>
      <c r="T35" s="100"/>
      <c r="U35" s="100"/>
      <c r="V35" s="93"/>
    </row>
    <row r="36" spans="1:22" x14ac:dyDescent="0.3">
      <c r="A36" s="10" t="s">
        <v>57</v>
      </c>
      <c r="B36" s="24">
        <v>29.099999999999994</v>
      </c>
      <c r="C36" s="24">
        <v>32.508074999999991</v>
      </c>
      <c r="D36" s="24">
        <v>35.951899999999995</v>
      </c>
      <c r="E36" s="24">
        <v>39.407425000000003</v>
      </c>
      <c r="F36" s="24">
        <v>43.134650000000008</v>
      </c>
      <c r="G36" s="108">
        <f>F36+G14</f>
        <v>39.061144299475565</v>
      </c>
      <c r="H36" s="108">
        <f t="shared" ref="H36:O36" si="42">G36+H14</f>
        <v>34.716639169003571</v>
      </c>
      <c r="I36" s="108">
        <f t="shared" si="42"/>
        <v>31.174999464560756</v>
      </c>
      <c r="J36" s="108">
        <f t="shared" si="42"/>
        <v>27.544757319046976</v>
      </c>
      <c r="K36" s="108">
        <f t="shared" si="42"/>
        <v>25.447351791959981</v>
      </c>
      <c r="L36" s="108">
        <f t="shared" si="42"/>
        <v>26.737413777683841</v>
      </c>
      <c r="M36" s="108">
        <f t="shared" si="42"/>
        <v>40.109335885836245</v>
      </c>
      <c r="N36" s="108">
        <f t="shared" si="42"/>
        <v>61.184372942657234</v>
      </c>
      <c r="O36" s="108">
        <f t="shared" si="42"/>
        <v>93.487426675047658</v>
      </c>
      <c r="Q36" s="100"/>
      <c r="R36" s="181">
        <f>60/8</f>
        <v>7.5</v>
      </c>
      <c r="S36" s="100"/>
      <c r="T36" s="100"/>
      <c r="U36" s="100"/>
      <c r="V36" s="93"/>
    </row>
    <row r="37" spans="1:22" x14ac:dyDescent="0.3">
      <c r="A37" s="16" t="s">
        <v>2</v>
      </c>
      <c r="B37" s="29">
        <v>69.599999999999994</v>
      </c>
      <c r="C37" s="29">
        <v>74.508074999999991</v>
      </c>
      <c r="D37" s="29">
        <v>81.051899999999989</v>
      </c>
      <c r="E37" s="29">
        <v>83.807424999999995</v>
      </c>
      <c r="F37" s="29">
        <v>86.834650000000011</v>
      </c>
      <c r="G37" s="166">
        <f>SUM(G35:G36)</f>
        <v>205.95152056853772</v>
      </c>
      <c r="H37" s="166">
        <f t="shared" ref="H37:O37" si="43">SUM(H35:H36)</f>
        <v>189.80797781115953</v>
      </c>
      <c r="I37" s="166">
        <f t="shared" si="43"/>
        <v>189.21554460024868</v>
      </c>
      <c r="J37" s="166">
        <f t="shared" si="43"/>
        <v>189.23677675979243</v>
      </c>
      <c r="K37" s="166">
        <f t="shared" si="43"/>
        <v>190.39499395296914</v>
      </c>
      <c r="L37" s="166">
        <f t="shared" si="43"/>
        <v>211.91149491114709</v>
      </c>
      <c r="M37" s="166">
        <f t="shared" si="43"/>
        <v>254.61175352935794</v>
      </c>
      <c r="N37" s="166">
        <f t="shared" si="43"/>
        <v>318.2128785257637</v>
      </c>
      <c r="O37" s="166">
        <f t="shared" si="43"/>
        <v>464.67875977055201</v>
      </c>
      <c r="Q37" s="100"/>
      <c r="R37" s="100"/>
      <c r="S37" s="100"/>
      <c r="T37" s="100"/>
      <c r="U37" s="100"/>
      <c r="V37" s="93"/>
    </row>
    <row r="38" spans="1:22" x14ac:dyDescent="0.3">
      <c r="Q38" s="5"/>
      <c r="R38" s="5"/>
      <c r="S38" s="5"/>
      <c r="T38" s="5"/>
      <c r="U38" s="5"/>
      <c r="V38" s="5"/>
    </row>
    <row r="39" spans="1:22" x14ac:dyDescent="0.3">
      <c r="Q39" s="1"/>
      <c r="R39" s="1"/>
      <c r="S39" s="1"/>
      <c r="T39" s="1"/>
      <c r="U39" s="1"/>
      <c r="V3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57"/>
  <sheetViews>
    <sheetView topLeftCell="A16" workbookViewId="0">
      <selection activeCell="H51" sqref="H51"/>
    </sheetView>
  </sheetViews>
  <sheetFormatPr defaultRowHeight="14.4" x14ac:dyDescent="0.3"/>
  <cols>
    <col min="1" max="1" width="23.33203125" customWidth="1"/>
    <col min="7" max="10" width="9.33203125" customWidth="1"/>
  </cols>
  <sheetData>
    <row r="1" spans="1:21" x14ac:dyDescent="0.3">
      <c r="A1" s="4" t="s">
        <v>143</v>
      </c>
      <c r="B1" s="36"/>
      <c r="C1" s="36"/>
      <c r="D1" s="36"/>
      <c r="E1" s="36"/>
      <c r="F1" s="36"/>
      <c r="N1" s="2"/>
      <c r="O1" s="5" t="s">
        <v>78</v>
      </c>
      <c r="P1" s="73">
        <v>0.03</v>
      </c>
      <c r="Q1" s="2"/>
      <c r="R1" s="2"/>
    </row>
    <row r="2" spans="1:21" x14ac:dyDescent="0.3">
      <c r="A2" s="9"/>
      <c r="B2" s="230">
        <v>2015</v>
      </c>
      <c r="C2" s="230">
        <v>2016</v>
      </c>
      <c r="D2" s="230">
        <v>2017</v>
      </c>
      <c r="E2" s="230">
        <v>2018</v>
      </c>
      <c r="F2" s="230">
        <v>2019</v>
      </c>
      <c r="G2" s="231">
        <v>2020</v>
      </c>
      <c r="H2" s="231">
        <v>2021</v>
      </c>
      <c r="I2" s="231">
        <v>2022</v>
      </c>
      <c r="J2" s="231">
        <v>2023</v>
      </c>
      <c r="N2" s="1"/>
      <c r="O2" s="5"/>
      <c r="P2" s="75" t="s">
        <v>81</v>
      </c>
      <c r="Q2" s="75"/>
      <c r="R2" s="75" t="s">
        <v>82</v>
      </c>
    </row>
    <row r="3" spans="1:21" x14ac:dyDescent="0.3">
      <c r="A3" s="233" t="s">
        <v>3</v>
      </c>
      <c r="B3" s="20">
        <f>Landmark!F4*1.05</f>
        <v>362.77500000000003</v>
      </c>
      <c r="C3" s="20">
        <f>B3*1.05</f>
        <v>380.91375000000005</v>
      </c>
      <c r="D3" s="20">
        <f>C3*1.05</f>
        <v>399.95943750000009</v>
      </c>
      <c r="E3" s="20">
        <f>D3*1.05</f>
        <v>419.95740937500011</v>
      </c>
      <c r="F3" s="20">
        <f>E3*1.05</f>
        <v>440.95527984375013</v>
      </c>
      <c r="G3" s="133">
        <f>F3*104%</f>
        <v>458.59349103750014</v>
      </c>
      <c r="H3" s="133">
        <f t="shared" ref="H3:J3" si="0">G3*104%</f>
        <v>476.93723067900015</v>
      </c>
      <c r="I3" s="133">
        <f t="shared" si="0"/>
        <v>496.01471990616017</v>
      </c>
      <c r="J3" s="133">
        <f t="shared" si="0"/>
        <v>515.85530870240655</v>
      </c>
      <c r="N3" s="1"/>
      <c r="O3" s="5" t="s">
        <v>79</v>
      </c>
      <c r="P3" s="71">
        <v>0.05</v>
      </c>
      <c r="Q3" s="1"/>
      <c r="R3" s="71">
        <v>0.04</v>
      </c>
    </row>
    <row r="4" spans="1:21" x14ac:dyDescent="0.3">
      <c r="A4" s="234" t="s">
        <v>16</v>
      </c>
      <c r="B4" s="20">
        <f>B3*0.015</f>
        <v>5.4416250000000002</v>
      </c>
      <c r="C4" s="20">
        <f>C3*0.02</f>
        <v>7.6182750000000015</v>
      </c>
      <c r="D4" s="20">
        <f>D3*0.025</f>
        <v>9.9989859375000023</v>
      </c>
      <c r="E4" s="20">
        <f>E3*0.03</f>
        <v>12.598722281250003</v>
      </c>
      <c r="F4" s="20">
        <f>F3*0.03</f>
        <v>13.228658395312504</v>
      </c>
      <c r="G4" s="134">
        <f>Landmark!L9</f>
        <v>13.757804731125004</v>
      </c>
      <c r="H4" s="134">
        <f>Landmark!M9</f>
        <v>14.308116920370004</v>
      </c>
      <c r="I4" s="134">
        <f>Landmark!N9</f>
        <v>14.880441597184804</v>
      </c>
      <c r="J4" s="134">
        <f>Landmark!O9</f>
        <v>15.475659261072195</v>
      </c>
      <c r="K4" s="75"/>
      <c r="L4" s="75"/>
      <c r="M4" s="75"/>
      <c r="N4" s="75"/>
      <c r="O4" s="5"/>
      <c r="P4" s="75">
        <v>15</v>
      </c>
      <c r="Q4" s="75">
        <v>16</v>
      </c>
      <c r="R4" s="75">
        <v>17</v>
      </c>
      <c r="S4" s="75" t="s">
        <v>82</v>
      </c>
      <c r="T4" s="1"/>
    </row>
    <row r="5" spans="1:21" x14ac:dyDescent="0.3">
      <c r="A5" s="234" t="s">
        <v>7</v>
      </c>
      <c r="B5" s="20">
        <f>B4*(1-0.35)</f>
        <v>3.53705625</v>
      </c>
      <c r="C5" s="20">
        <f t="shared" ref="C5:F5" si="1">C4*(1-0.35)</f>
        <v>4.9518787500000014</v>
      </c>
      <c r="D5" s="20">
        <f t="shared" si="1"/>
        <v>6.4993408593750015</v>
      </c>
      <c r="E5" s="20">
        <f t="shared" si="1"/>
        <v>8.1891694828125026</v>
      </c>
      <c r="F5" s="20">
        <f t="shared" si="1"/>
        <v>8.598627956953127</v>
      </c>
      <c r="G5" s="190">
        <f>Landmark!L12</f>
        <v>8.9425730752312518</v>
      </c>
      <c r="H5" s="190">
        <f>Landmark!M12</f>
        <v>9.3002759982405028</v>
      </c>
      <c r="I5" s="190">
        <f>Landmark!N12</f>
        <v>9.672287038170122</v>
      </c>
      <c r="J5" s="190">
        <f>Landmark!O12</f>
        <v>10.059178519696928</v>
      </c>
      <c r="K5" s="74"/>
      <c r="L5" s="71"/>
      <c r="M5" s="74"/>
      <c r="N5" s="71"/>
      <c r="O5" s="5" t="s">
        <v>80</v>
      </c>
      <c r="P5" s="74">
        <v>1.4999999999999999E-2</v>
      </c>
      <c r="Q5" s="71">
        <v>0.02</v>
      </c>
      <c r="R5" s="74">
        <v>2.5000000000000001E-2</v>
      </c>
      <c r="S5" s="71">
        <v>0.03</v>
      </c>
      <c r="T5" s="1"/>
    </row>
    <row r="6" spans="1:21" x14ac:dyDescent="0.3">
      <c r="A6" s="234" t="s">
        <v>13</v>
      </c>
      <c r="B6" s="20">
        <f>Landmark!F8+0.3</f>
        <v>2.1</v>
      </c>
      <c r="C6" s="20">
        <f>B6+0.3</f>
        <v>2.4</v>
      </c>
      <c r="D6" s="20">
        <f>C6+0.3</f>
        <v>2.6999999999999997</v>
      </c>
      <c r="E6" s="20">
        <f>D6+0.3</f>
        <v>2.9999999999999996</v>
      </c>
      <c r="F6" s="20">
        <f>E6+0.3</f>
        <v>3.2999999999999994</v>
      </c>
      <c r="G6" s="191">
        <f>F6+0.3</f>
        <v>3.5999999999999992</v>
      </c>
      <c r="H6" s="191">
        <f t="shared" ref="H6:J6" si="2">G6+0.3</f>
        <v>3.899999999999999</v>
      </c>
      <c r="I6" s="191">
        <f t="shared" si="2"/>
        <v>4.1999999999999993</v>
      </c>
      <c r="J6" s="191">
        <f t="shared" si="2"/>
        <v>4.4999999999999991</v>
      </c>
      <c r="K6" s="75"/>
      <c r="L6" s="75"/>
      <c r="M6" s="75"/>
      <c r="N6" s="75"/>
      <c r="O6" s="5"/>
      <c r="P6" s="75">
        <v>15</v>
      </c>
      <c r="Q6" s="75">
        <v>16</v>
      </c>
      <c r="R6" s="75">
        <v>17</v>
      </c>
      <c r="S6" s="75">
        <v>18</v>
      </c>
      <c r="T6" s="75" t="s">
        <v>82</v>
      </c>
    </row>
    <row r="7" spans="1:21" x14ac:dyDescent="0.3">
      <c r="A7" s="234" t="s">
        <v>25</v>
      </c>
      <c r="B7" s="38">
        <f>B3*0.07-(Landmark!F23-Landmark!F20-Landmark!F30)</f>
        <v>-0.10575000000000401</v>
      </c>
      <c r="C7" s="38">
        <f>C3*0.07-B3*0.065</f>
        <v>3.0835875000000037</v>
      </c>
      <c r="D7" s="38">
        <f>D3*0.065-C3*0.063</f>
        <v>1.999797187500004</v>
      </c>
      <c r="E7" s="38">
        <f>E3*0.063-D3*0.06</f>
        <v>2.4597505406250022</v>
      </c>
      <c r="F7" s="38">
        <f>F3*0.06-E3*0.055</f>
        <v>3.3596592750000021</v>
      </c>
      <c r="G7" s="38">
        <f t="shared" ref="G7:J7" si="3">G3*0.06-F3*0.055</f>
        <v>3.263069070843752</v>
      </c>
      <c r="H7" s="38">
        <f t="shared" si="3"/>
        <v>3.3935918336775011</v>
      </c>
      <c r="I7" s="38">
        <f t="shared" si="3"/>
        <v>3.529335507024598</v>
      </c>
      <c r="J7" s="38">
        <f t="shared" si="3"/>
        <v>3.6705089273055798</v>
      </c>
      <c r="K7" s="71"/>
      <c r="L7" s="74"/>
      <c r="M7" s="74"/>
      <c r="N7" s="71"/>
      <c r="O7" s="5" t="s">
        <v>83</v>
      </c>
      <c r="P7" s="71">
        <v>7.0000000000000007E-2</v>
      </c>
      <c r="Q7" s="74">
        <v>6.5000000000000002E-2</v>
      </c>
      <c r="R7" s="74">
        <v>6.3E-2</v>
      </c>
      <c r="S7" s="71">
        <v>0.06</v>
      </c>
      <c r="T7" s="74">
        <v>5.5E-2</v>
      </c>
    </row>
    <row r="8" spans="1:21" x14ac:dyDescent="0.3">
      <c r="A8" s="234" t="s">
        <v>26</v>
      </c>
      <c r="B8" s="38">
        <f>B3*0.01</f>
        <v>3.6277500000000003</v>
      </c>
      <c r="C8" s="38">
        <f>C3*0.01</f>
        <v>3.8091375000000007</v>
      </c>
      <c r="D8" s="38">
        <f>D3*0.01</f>
        <v>3.9995943750000009</v>
      </c>
      <c r="E8" s="38">
        <f>E3*0.01</f>
        <v>4.1995740937500008</v>
      </c>
      <c r="F8" s="38">
        <f>F3*0.01</f>
        <v>4.4095527984375016</v>
      </c>
      <c r="G8" s="38">
        <f t="shared" ref="G8:J8" si="4">G3*0.01</f>
        <v>4.5859349103750011</v>
      </c>
      <c r="H8" s="38">
        <f t="shared" si="4"/>
        <v>4.769372306790002</v>
      </c>
      <c r="I8" s="38">
        <f t="shared" si="4"/>
        <v>4.960147199061602</v>
      </c>
      <c r="J8" s="38">
        <f t="shared" si="4"/>
        <v>5.1585530870240657</v>
      </c>
      <c r="K8" s="1"/>
      <c r="L8" s="1"/>
      <c r="M8" s="1"/>
      <c r="N8" s="1"/>
      <c r="O8" s="5" t="s">
        <v>84</v>
      </c>
      <c r="P8" s="1"/>
      <c r="Q8" s="1"/>
      <c r="R8" s="1"/>
      <c r="S8" s="1"/>
      <c r="T8" s="1"/>
    </row>
    <row r="9" spans="1:21" x14ac:dyDescent="0.3">
      <c r="A9" s="235" t="s">
        <v>27</v>
      </c>
      <c r="B9" s="39">
        <f>B5+B6-B7-B8</f>
        <v>2.1150562500000043</v>
      </c>
      <c r="C9" s="39">
        <f t="shared" ref="C9:J9" si="5">C5+C6-C7-C8</f>
        <v>0.45915374999999647</v>
      </c>
      <c r="D9" s="39">
        <f t="shared" si="5"/>
        <v>3.1999492968749959</v>
      </c>
      <c r="E9" s="39">
        <f t="shared" si="5"/>
        <v>4.5298448484374996</v>
      </c>
      <c r="F9" s="39">
        <f t="shared" si="5"/>
        <v>4.1294158835156223</v>
      </c>
      <c r="G9" s="39">
        <f t="shared" si="5"/>
        <v>4.6935690940124983</v>
      </c>
      <c r="H9" s="39">
        <f t="shared" si="5"/>
        <v>5.0373118577729983</v>
      </c>
      <c r="I9" s="39">
        <f t="shared" si="5"/>
        <v>5.3828043320839214</v>
      </c>
      <c r="J9" s="39">
        <f t="shared" si="5"/>
        <v>5.7301165053672829</v>
      </c>
      <c r="K9" s="1"/>
      <c r="L9" s="1"/>
      <c r="M9" s="1"/>
      <c r="N9" s="1"/>
      <c r="O9" s="5" t="s">
        <v>85</v>
      </c>
      <c r="P9" s="1"/>
      <c r="Q9" s="1"/>
      <c r="R9" s="1"/>
      <c r="S9" s="1"/>
      <c r="T9" s="1"/>
    </row>
    <row r="10" spans="1:21" x14ac:dyDescent="0.3">
      <c r="A10" s="5"/>
      <c r="B10" s="2"/>
      <c r="C10" s="2"/>
      <c r="D10" s="2"/>
      <c r="E10" s="2"/>
      <c r="F10" s="2"/>
      <c r="J10" s="5"/>
      <c r="K10" s="1"/>
      <c r="L10" s="1"/>
      <c r="M10" s="1"/>
      <c r="N10" s="1"/>
      <c r="O10" s="5" t="s">
        <v>86</v>
      </c>
      <c r="P10" s="1"/>
      <c r="Q10" s="1"/>
      <c r="R10" s="1"/>
      <c r="S10" s="1"/>
      <c r="T10" s="1"/>
    </row>
    <row r="11" spans="1:21" x14ac:dyDescent="0.3">
      <c r="A11" s="104" t="s">
        <v>142</v>
      </c>
      <c r="B11" s="36"/>
      <c r="C11" s="36"/>
      <c r="D11" s="36"/>
      <c r="E11" s="36"/>
      <c r="F11" s="36"/>
      <c r="H11" s="232" t="s">
        <v>139</v>
      </c>
      <c r="I11" s="232"/>
      <c r="J11" s="232"/>
      <c r="K11" s="72"/>
      <c r="L11" s="1"/>
      <c r="M11" s="1"/>
      <c r="N11" s="1"/>
      <c r="O11" s="5" t="s">
        <v>94</v>
      </c>
      <c r="P11" s="72"/>
      <c r="Q11" s="1"/>
      <c r="R11" s="1"/>
      <c r="S11" s="1"/>
      <c r="T11" s="1"/>
    </row>
    <row r="12" spans="1:21" x14ac:dyDescent="0.3">
      <c r="A12" s="198"/>
      <c r="B12" s="230">
        <v>2015</v>
      </c>
      <c r="C12" s="230">
        <v>2016</v>
      </c>
      <c r="D12" s="230">
        <v>2017</v>
      </c>
      <c r="E12" s="230">
        <v>2018</v>
      </c>
      <c r="F12" s="230">
        <v>2019</v>
      </c>
      <c r="G12" s="231">
        <v>2020</v>
      </c>
      <c r="H12" s="231">
        <v>2021</v>
      </c>
      <c r="I12" s="231">
        <v>2022</v>
      </c>
      <c r="J12" s="231">
        <v>2023</v>
      </c>
      <c r="K12" s="1"/>
      <c r="L12" s="1"/>
      <c r="M12" s="1"/>
      <c r="N12" s="1"/>
      <c r="O12" s="5"/>
      <c r="P12" s="1"/>
      <c r="Q12" s="1"/>
      <c r="R12" s="1"/>
      <c r="S12" s="1"/>
      <c r="T12" s="1"/>
    </row>
    <row r="13" spans="1:21" x14ac:dyDescent="0.3">
      <c r="A13" s="233" t="s">
        <v>3</v>
      </c>
      <c r="B13" s="20">
        <f>'Debt Financing'!F4*0.9</f>
        <v>145.71</v>
      </c>
      <c r="C13" s="20">
        <f>B13*0.9</f>
        <v>131.13900000000001</v>
      </c>
      <c r="D13" s="20">
        <f>C13*1.09</f>
        <v>142.94151000000002</v>
      </c>
      <c r="E13" s="20">
        <f t="shared" ref="E13:F13" si="6">D13*1.09</f>
        <v>155.80624590000002</v>
      </c>
      <c r="F13" s="20">
        <f t="shared" si="6"/>
        <v>169.82880803100002</v>
      </c>
      <c r="G13" s="79">
        <f>F13*1.045</f>
        <v>177.47110439239501</v>
      </c>
      <c r="H13" s="79">
        <f t="shared" ref="H13:J13" si="7">G13*1.045</f>
        <v>185.45730409005276</v>
      </c>
      <c r="I13" s="79">
        <f t="shared" si="7"/>
        <v>193.80288277410511</v>
      </c>
      <c r="J13" s="79">
        <f t="shared" si="7"/>
        <v>202.52401249893984</v>
      </c>
      <c r="K13" s="75"/>
      <c r="L13" s="75"/>
      <c r="M13" s="75"/>
      <c r="N13" s="75"/>
      <c r="O13" s="5"/>
      <c r="P13" s="75">
        <v>2015</v>
      </c>
      <c r="Q13" s="75">
        <v>2016</v>
      </c>
      <c r="R13" s="75">
        <v>2017</v>
      </c>
      <c r="S13" s="75">
        <v>2018</v>
      </c>
      <c r="T13" s="75">
        <v>2019</v>
      </c>
      <c r="U13" s="75" t="s">
        <v>88</v>
      </c>
    </row>
    <row r="14" spans="1:21" x14ac:dyDescent="0.3">
      <c r="A14" s="234" t="s">
        <v>16</v>
      </c>
      <c r="B14" s="20">
        <f>'Debt Financing'!G9</f>
        <v>6.3711500000000001</v>
      </c>
      <c r="C14" s="20">
        <f>'Debt Financing'!H9</f>
        <v>5.2240350000000015</v>
      </c>
      <c r="D14" s="20">
        <f>'Debt Financing'!I9</f>
        <v>6.5059057000000005</v>
      </c>
      <c r="E14" s="20">
        <f>'Debt Financing'!J9</f>
        <v>6.4274059835000017</v>
      </c>
      <c r="F14" s="20">
        <f>'Debt Financing'!K9</f>
        <v>8.8371606023250013</v>
      </c>
      <c r="G14" s="20">
        <f>'Debt Financing'!L9</f>
        <v>14.36888287337125</v>
      </c>
      <c r="H14" s="20">
        <f>'Debt Financing'!M9</f>
        <v>22.479880166388313</v>
      </c>
      <c r="I14" s="20">
        <f>'Debt Financing'!N9</f>
        <v>34.330826241263054</v>
      </c>
      <c r="J14" s="20">
        <f>'Debt Financing'!O9</f>
        <v>51.604698049831427</v>
      </c>
      <c r="K14" s="71"/>
      <c r="L14" s="71"/>
      <c r="M14" s="71"/>
      <c r="N14" s="71"/>
      <c r="O14" s="5" t="s">
        <v>87</v>
      </c>
      <c r="P14" s="71">
        <v>-0.1</v>
      </c>
      <c r="Q14" s="71">
        <v>-0.1</v>
      </c>
      <c r="R14" s="71">
        <v>0.09</v>
      </c>
      <c r="S14" s="71">
        <v>0.09</v>
      </c>
      <c r="T14" s="71">
        <v>0.09</v>
      </c>
      <c r="U14" s="74">
        <v>4.4999999999999998E-2</v>
      </c>
    </row>
    <row r="15" spans="1:21" x14ac:dyDescent="0.3">
      <c r="A15" s="234" t="s">
        <v>4</v>
      </c>
      <c r="B15" s="20">
        <v>0.4</v>
      </c>
      <c r="C15" s="20">
        <v>0.4</v>
      </c>
      <c r="D15" s="20">
        <v>0.4</v>
      </c>
      <c r="E15" s="20">
        <v>0.4</v>
      </c>
      <c r="F15" s="20">
        <v>0.4</v>
      </c>
      <c r="G15" s="20">
        <v>0.4</v>
      </c>
      <c r="H15" s="20">
        <v>0.4</v>
      </c>
      <c r="I15" s="20">
        <v>0.4</v>
      </c>
      <c r="J15" s="20">
        <v>0.4</v>
      </c>
      <c r="K15" s="1"/>
      <c r="L15" s="1"/>
      <c r="M15" s="1"/>
      <c r="N15" s="1"/>
      <c r="O15" s="5"/>
      <c r="P15" s="1">
        <v>15</v>
      </c>
      <c r="Q15" s="1">
        <v>16</v>
      </c>
      <c r="R15" s="1">
        <v>17</v>
      </c>
      <c r="S15" s="1">
        <v>18</v>
      </c>
      <c r="T15" s="1" t="s">
        <v>82</v>
      </c>
      <c r="U15" s="1"/>
    </row>
    <row r="16" spans="1:21" x14ac:dyDescent="0.3">
      <c r="A16" s="234" t="s">
        <v>7</v>
      </c>
      <c r="B16" s="20">
        <f>(B14-B15)*(1-0.35)</f>
        <v>3.8812474999999997</v>
      </c>
      <c r="C16" s="20">
        <f>(C14-C15)*(1-0.35)</f>
        <v>3.1356227500000009</v>
      </c>
      <c r="D16" s="20">
        <f>(D14-D15)*(1-0.35)</f>
        <v>3.968838705</v>
      </c>
      <c r="E16" s="20">
        <f>(E14-E15)*(1-0.35)</f>
        <v>3.917813889275001</v>
      </c>
      <c r="F16" s="20">
        <f>(F14-F15)*(1-0.35)</f>
        <v>5.4841543915112512</v>
      </c>
      <c r="G16" s="20">
        <f t="shared" ref="G16:J16" si="8">(G14-G15)*(1-0.35)</f>
        <v>9.079773867691312</v>
      </c>
      <c r="H16" s="20">
        <f t="shared" si="8"/>
        <v>14.351922108152404</v>
      </c>
      <c r="I16" s="20">
        <f t="shared" si="8"/>
        <v>22.055037056820986</v>
      </c>
      <c r="J16" s="20">
        <f t="shared" si="8"/>
        <v>33.283053732390428</v>
      </c>
      <c r="K16" s="74"/>
      <c r="L16" s="76"/>
      <c r="M16" s="74"/>
      <c r="N16" s="71"/>
      <c r="O16" s="5" t="s">
        <v>89</v>
      </c>
      <c r="P16" s="74">
        <v>8.5000000000000006E-2</v>
      </c>
      <c r="Q16" s="76">
        <v>8.5000000000000006E-2</v>
      </c>
      <c r="R16" s="74">
        <v>0.09</v>
      </c>
      <c r="S16" s="71">
        <v>0.09</v>
      </c>
      <c r="T16" s="74">
        <v>9.5000000000000001E-2</v>
      </c>
      <c r="U16" s="1"/>
    </row>
    <row r="17" spans="1:21" x14ac:dyDescent="0.3">
      <c r="A17" s="234" t="s">
        <v>13</v>
      </c>
      <c r="B17" s="20">
        <f>'Debt Financing'!G8</f>
        <v>3.1</v>
      </c>
      <c r="C17" s="20">
        <f>'Debt Financing'!H8</f>
        <v>3.3000000000000003</v>
      </c>
      <c r="D17" s="20">
        <f>'Debt Financing'!I8</f>
        <v>3.5000000000000004</v>
      </c>
      <c r="E17" s="20">
        <f>'Debt Financing'!J8</f>
        <v>3.7000000000000006</v>
      </c>
      <c r="F17" s="20">
        <f>'Debt Financing'!K8</f>
        <v>3.9000000000000008</v>
      </c>
      <c r="G17" s="20">
        <f>'Debt Financing'!L8</f>
        <v>4.1000000000000005</v>
      </c>
      <c r="H17" s="20">
        <f>'Debt Financing'!M8</f>
        <v>4.3000000000000007</v>
      </c>
      <c r="I17" s="20">
        <f>'Debt Financing'!N8</f>
        <v>4.5000000000000009</v>
      </c>
      <c r="J17" s="20">
        <f>'Debt Financing'!O8</f>
        <v>4.7000000000000011</v>
      </c>
      <c r="K17" s="1"/>
      <c r="L17" s="1"/>
      <c r="M17" s="1"/>
      <c r="N17" s="1"/>
      <c r="O17" s="5"/>
      <c r="P17" s="1"/>
      <c r="Q17" s="1"/>
      <c r="R17" s="1"/>
      <c r="S17" s="1"/>
      <c r="T17" s="1"/>
      <c r="U17" s="1"/>
    </row>
    <row r="18" spans="1:21" x14ac:dyDescent="0.3">
      <c r="A18" s="234" t="s">
        <v>25</v>
      </c>
      <c r="B18" s="38">
        <f>B13*0.053-('Debt Financing'!G27-'Debt Financing'!G35-'Debt Financing'!G21)</f>
        <v>-28.273913277260597</v>
      </c>
      <c r="C18" s="38">
        <f>C13*0.053-('Debt Financing'!H27-'Debt Financing'!H35-'Debt Financing'!H21)</f>
        <v>-25.406521949534508</v>
      </c>
      <c r="D18" s="38">
        <f>D13*0.053-('Debt Financing'!I27-'Debt Financing'!I35-'Debt Financing'!I21)</f>
        <v>-22.938122909254716</v>
      </c>
      <c r="E18" s="38">
        <f>E13*0.053-('Debt Financing'!J27-'Debt Financing'!J35-'Debt Financing'!J21)</f>
        <v>-25.260728728242007</v>
      </c>
      <c r="F18" s="38">
        <f>F13*0.053-('Debt Financing'!K27-'Debt Financing'!K35-'Debt Financing'!K21)</f>
        <v>-28.516853343187201</v>
      </c>
      <c r="G18" s="38">
        <f>G13*0.053-('Debt Financing'!L27-'Debt Financing'!L35-'Debt Financing'!L21)</f>
        <v>-47.424812712006883</v>
      </c>
      <c r="H18" s="38">
        <f>H13*0.053-('Debt Financing'!M27-'Debt Financing'!M35-'Debt Financing'!M21)</f>
        <v>-75.005395688192678</v>
      </c>
      <c r="I18" s="38">
        <f>I13*0.053-('Debt Financing'!N27-'Debt Financing'!N35-'Debt Financing'!N21)</f>
        <v>-115.16866478017242</v>
      </c>
      <c r="J18" s="38">
        <f>J13*0.053-('Debt Financing'!O27-'Debt Financing'!O35-'Debt Financing'!O21)</f>
        <v>-88.584542809996108</v>
      </c>
      <c r="K18" s="1"/>
      <c r="L18" s="1"/>
      <c r="M18" s="1"/>
      <c r="N18" s="1"/>
      <c r="O18" s="5" t="s">
        <v>90</v>
      </c>
      <c r="P18" s="1"/>
      <c r="Q18" s="1"/>
      <c r="R18" s="1"/>
      <c r="S18" s="1"/>
      <c r="T18" s="1"/>
      <c r="U18" s="1"/>
    </row>
    <row r="19" spans="1:21" x14ac:dyDescent="0.3">
      <c r="A19" s="234" t="s">
        <v>26</v>
      </c>
      <c r="B19" s="38">
        <f>B13*0.021</f>
        <v>3.0599100000000004</v>
      </c>
      <c r="C19" s="38">
        <f t="shared" ref="C19:J19" si="9">C13*0.021</f>
        <v>2.7539190000000002</v>
      </c>
      <c r="D19" s="38">
        <f t="shared" si="9"/>
        <v>3.0017717100000008</v>
      </c>
      <c r="E19" s="38">
        <f t="shared" si="9"/>
        <v>3.2719311639000006</v>
      </c>
      <c r="F19" s="38">
        <f t="shared" si="9"/>
        <v>3.5664049686510007</v>
      </c>
      <c r="G19" s="38">
        <f t="shared" si="9"/>
        <v>3.7268931922402952</v>
      </c>
      <c r="H19" s="38">
        <f t="shared" si="9"/>
        <v>3.894603385891108</v>
      </c>
      <c r="I19" s="38">
        <f t="shared" si="9"/>
        <v>4.0698605382562079</v>
      </c>
      <c r="J19" s="38">
        <f t="shared" si="9"/>
        <v>4.2530042624777371</v>
      </c>
      <c r="K19" s="1"/>
      <c r="L19" s="1"/>
      <c r="M19" s="1"/>
      <c r="N19" s="1"/>
      <c r="O19" s="5"/>
      <c r="P19" s="1"/>
      <c r="Q19" s="1"/>
      <c r="R19" s="1"/>
      <c r="S19" s="1"/>
      <c r="T19" s="1"/>
      <c r="U19" s="1"/>
    </row>
    <row r="20" spans="1:21" x14ac:dyDescent="0.3">
      <c r="A20" s="235" t="s">
        <v>27</v>
      </c>
      <c r="B20" s="39">
        <f>B16+B17-B18-B19+B15*(1-0.35)</f>
        <v>32.455250777260595</v>
      </c>
      <c r="C20" s="39">
        <f>C16+C17-C18-C19+C15*(1-0.35)</f>
        <v>29.34822569953451</v>
      </c>
      <c r="D20" s="39">
        <f>D16+D17-D18-D19+D15*(1-0.35)</f>
        <v>27.665189904254717</v>
      </c>
      <c r="E20" s="39">
        <f>E16+E17-E18-E19+E15*(1-0.35)</f>
        <v>29.866611453617015</v>
      </c>
      <c r="F20" s="39">
        <f>F16+F17-F18-F19+F15*(1-0.35)</f>
        <v>34.594602766047451</v>
      </c>
      <c r="G20" s="39">
        <f t="shared" ref="G20:J20" si="10">G16+G17-G18-G19+G15*(1-0.35)</f>
        <v>57.137693387457894</v>
      </c>
      <c r="H20" s="39">
        <f t="shared" si="10"/>
        <v>90.022714410453986</v>
      </c>
      <c r="I20" s="39">
        <f t="shared" si="10"/>
        <v>137.91384129873717</v>
      </c>
      <c r="J20" s="39">
        <f t="shared" si="10"/>
        <v>122.57459227990881</v>
      </c>
      <c r="K20" s="1"/>
      <c r="L20" s="1"/>
      <c r="M20" s="1"/>
      <c r="N20" s="1"/>
      <c r="O20" s="5" t="s">
        <v>91</v>
      </c>
      <c r="P20" s="1"/>
      <c r="Q20" s="1"/>
      <c r="R20" s="1"/>
      <c r="S20" s="1"/>
      <c r="T20" s="1"/>
      <c r="U20" s="1"/>
    </row>
    <row r="21" spans="1:21" x14ac:dyDescent="0.3">
      <c r="A21" s="5"/>
      <c r="B21" s="197"/>
      <c r="C21" s="197"/>
      <c r="D21" s="197"/>
      <c r="E21" s="197"/>
      <c r="F21" s="197"/>
      <c r="G21" s="197"/>
      <c r="H21" s="197"/>
      <c r="I21" s="197"/>
      <c r="J21" s="197"/>
      <c r="K21" s="1"/>
      <c r="L21" s="1"/>
      <c r="M21" s="1"/>
      <c r="N21" s="1"/>
      <c r="O21" s="5"/>
      <c r="P21" s="1"/>
      <c r="Q21" s="1"/>
      <c r="R21" s="1"/>
      <c r="S21" s="1"/>
      <c r="T21" s="1"/>
      <c r="U21" s="1"/>
    </row>
    <row r="22" spans="1:21" x14ac:dyDescent="0.3">
      <c r="H22" s="232" t="s">
        <v>140</v>
      </c>
      <c r="I22" s="232"/>
      <c r="J22" s="232"/>
      <c r="K22" s="1"/>
      <c r="L22" s="1"/>
      <c r="M22" s="1"/>
      <c r="N22" s="1"/>
      <c r="O22" s="5"/>
      <c r="P22" s="1"/>
      <c r="Q22" s="1"/>
      <c r="R22" s="1"/>
      <c r="S22" s="1"/>
      <c r="T22" s="1"/>
      <c r="U22" s="1"/>
    </row>
    <row r="23" spans="1:21" x14ac:dyDescent="0.3">
      <c r="A23" s="198"/>
      <c r="B23" s="231">
        <v>2015</v>
      </c>
      <c r="C23" s="231">
        <v>2016</v>
      </c>
      <c r="D23" s="231">
        <v>2017</v>
      </c>
      <c r="E23" s="231">
        <v>2018</v>
      </c>
      <c r="F23" s="231">
        <v>2019</v>
      </c>
      <c r="G23" s="231">
        <v>2020</v>
      </c>
      <c r="H23" s="231">
        <v>2021</v>
      </c>
      <c r="I23" s="231">
        <v>2022</v>
      </c>
      <c r="J23" s="231">
        <v>2023</v>
      </c>
      <c r="K23" s="1"/>
      <c r="L23" s="1"/>
      <c r="M23" s="1"/>
      <c r="N23" s="1"/>
      <c r="O23" s="5" t="s">
        <v>92</v>
      </c>
      <c r="P23" s="1"/>
      <c r="Q23" s="1"/>
      <c r="R23" s="1"/>
      <c r="S23" s="1"/>
      <c r="T23" s="1"/>
      <c r="U23" s="1"/>
    </row>
    <row r="24" spans="1:21" x14ac:dyDescent="0.3">
      <c r="A24" s="234" t="s">
        <v>3</v>
      </c>
      <c r="B24" s="20">
        <f>'Mix of Debt &amp; Equity Financing'!G4</f>
        <v>145.71</v>
      </c>
      <c r="C24" s="20">
        <f>'Mix of Debt &amp; Equity Financing'!H4</f>
        <v>131.13900000000001</v>
      </c>
      <c r="D24" s="20">
        <f>'Mix of Debt &amp; Equity Financing'!I4</f>
        <v>142.94151000000002</v>
      </c>
      <c r="E24" s="20">
        <f>'Mix of Debt &amp; Equity Financing'!J4</f>
        <v>155.80624590000002</v>
      </c>
      <c r="F24" s="20">
        <f>'Mix of Debt &amp; Equity Financing'!K4</f>
        <v>169.82880803100002</v>
      </c>
      <c r="G24" s="20">
        <f>'Mix of Debt &amp; Equity Financing'!L4</f>
        <v>246.25177164495003</v>
      </c>
      <c r="H24" s="20">
        <f>'Mix of Debt &amp; Equity Financing'!M4</f>
        <v>357.06506888517754</v>
      </c>
      <c r="I24" s="20">
        <f>'Mix of Debt &amp; Equity Financing'!N4</f>
        <v>517.74434988350743</v>
      </c>
      <c r="J24" s="20">
        <f>'Mix of Debt &amp; Equity Financing'!O4</f>
        <v>750.72930733108569</v>
      </c>
      <c r="L24" s="1"/>
      <c r="M24" s="1"/>
      <c r="N24" s="1"/>
      <c r="O24" s="5"/>
      <c r="P24" s="1"/>
      <c r="Q24" s="1"/>
      <c r="R24" s="1"/>
      <c r="S24" s="1"/>
      <c r="T24" s="1"/>
      <c r="U24" s="1"/>
    </row>
    <row r="25" spans="1:21" x14ac:dyDescent="0.3">
      <c r="A25" s="234" t="s">
        <v>16</v>
      </c>
      <c r="B25" s="20">
        <f>'Mix of Debt &amp; Equity Financing'!G9</f>
        <v>6.3711500000000001</v>
      </c>
      <c r="C25" s="20">
        <f>'Mix of Debt &amp; Equity Financing'!H9</f>
        <v>5.2240350000000015</v>
      </c>
      <c r="D25" s="20">
        <f>'Mix of Debt &amp; Equity Financing'!I9</f>
        <v>6.5059057000000005</v>
      </c>
      <c r="E25" s="20">
        <f>'Mix of Debt &amp; Equity Financing'!J9</f>
        <v>6.4274059835000017</v>
      </c>
      <c r="F25" s="20">
        <f>'Mix of Debt &amp; Equity Financing'!K9</f>
        <v>8.8371606023250013</v>
      </c>
      <c r="G25" s="20">
        <f>'Mix of Debt &amp; Equity Financing'!L9</f>
        <v>14.36888287337125</v>
      </c>
      <c r="H25" s="20">
        <f>'Mix of Debt &amp; Equity Financing'!M9</f>
        <v>22.479880166388313</v>
      </c>
      <c r="I25" s="20">
        <f>'Mix of Debt &amp; Equity Financing'!N9</f>
        <v>34.330826241263054</v>
      </c>
      <c r="J25" s="20">
        <f>'Mix of Debt &amp; Equity Financing'!O9</f>
        <v>51.604698049831427</v>
      </c>
      <c r="L25" s="1"/>
      <c r="M25" s="1"/>
      <c r="N25" s="1"/>
      <c r="O25" s="5"/>
      <c r="P25" s="1"/>
      <c r="Q25" s="1"/>
      <c r="R25" s="1"/>
      <c r="S25" s="1"/>
      <c r="T25" s="1"/>
      <c r="U25" s="1"/>
    </row>
    <row r="26" spans="1:21" x14ac:dyDescent="0.3">
      <c r="A26" s="234" t="s">
        <v>4</v>
      </c>
      <c r="B26" s="20">
        <v>0.4</v>
      </c>
      <c r="C26" s="20">
        <v>0.4</v>
      </c>
      <c r="D26" s="20">
        <v>0.4</v>
      </c>
      <c r="E26" s="20">
        <v>0.4</v>
      </c>
      <c r="F26" s="20">
        <v>0.4</v>
      </c>
      <c r="G26" s="20">
        <v>0.4</v>
      </c>
      <c r="H26" s="20">
        <v>0.4</v>
      </c>
      <c r="I26" s="20">
        <v>0.4</v>
      </c>
      <c r="J26" s="20">
        <v>0.4</v>
      </c>
      <c r="L26" s="1"/>
      <c r="M26" s="1"/>
      <c r="N26" s="1"/>
      <c r="O26" s="5"/>
      <c r="P26" s="1"/>
      <c r="Q26" s="1"/>
      <c r="R26" s="1"/>
      <c r="S26" s="1"/>
      <c r="T26" s="1"/>
      <c r="U26" s="1"/>
    </row>
    <row r="27" spans="1:21" x14ac:dyDescent="0.3">
      <c r="A27" s="234" t="s">
        <v>7</v>
      </c>
      <c r="B27" s="20">
        <f>'Mix of Debt &amp; Equity Financing'!G12</f>
        <v>-3.233505700524443</v>
      </c>
      <c r="C27" s="20">
        <f>'Mix of Debt &amp; Equity Financing'!H12</f>
        <v>-3.5045051304719967</v>
      </c>
      <c r="D27" s="20">
        <f>'Mix of Debt &amp; Equity Financing'!I12</f>
        <v>-2.7016397044428144</v>
      </c>
      <c r="E27" s="20">
        <f>'Mix of Debt &amp; Equity Financing'!J12</f>
        <v>-2.7902421455137798</v>
      </c>
      <c r="F27" s="20">
        <f>'Mix of Debt &amp; Equity Financing'!K12</f>
        <v>-1.257405527086993</v>
      </c>
      <c r="G27" s="20">
        <f>'Mix of Debt &amp; Equity Financing'!L12</f>
        <v>2.1300619857238576</v>
      </c>
      <c r="H27" s="20">
        <f>'Mix of Debt &amp; Equity Financing'!M12</f>
        <v>14.211922108152404</v>
      </c>
      <c r="I27" s="20">
        <f>'Mix of Debt &amp; Equity Financing'!N12</f>
        <v>21.915037056820985</v>
      </c>
      <c r="J27" s="20">
        <f>'Mix of Debt &amp; Equity Financing'!O12</f>
        <v>33.143053732390428</v>
      </c>
      <c r="L27" s="1"/>
      <c r="M27" s="1"/>
      <c r="N27" s="1"/>
      <c r="O27" s="5"/>
      <c r="P27" s="1"/>
      <c r="Q27" s="1"/>
      <c r="R27" s="1"/>
      <c r="S27" s="1"/>
      <c r="T27" s="1"/>
      <c r="U27" s="1"/>
    </row>
    <row r="28" spans="1:21" x14ac:dyDescent="0.3">
      <c r="A28" s="234" t="s">
        <v>13</v>
      </c>
      <c r="B28" s="20">
        <f>'Mix of Debt &amp; Equity Financing'!G8</f>
        <v>3.1</v>
      </c>
      <c r="C28" s="20">
        <f>'Mix of Debt &amp; Equity Financing'!H8</f>
        <v>3.3000000000000003</v>
      </c>
      <c r="D28" s="20">
        <f>'Mix of Debt &amp; Equity Financing'!I8</f>
        <v>3.5000000000000004</v>
      </c>
      <c r="E28" s="20">
        <f>'Mix of Debt &amp; Equity Financing'!J8</f>
        <v>3.7000000000000006</v>
      </c>
      <c r="F28" s="20">
        <f>'Mix of Debt &amp; Equity Financing'!K8</f>
        <v>3.9000000000000008</v>
      </c>
      <c r="G28" s="20">
        <f>'Mix of Debt &amp; Equity Financing'!L8</f>
        <v>4.1000000000000005</v>
      </c>
      <c r="H28" s="20">
        <f>'Mix of Debt &amp; Equity Financing'!M8</f>
        <v>4.3000000000000007</v>
      </c>
      <c r="I28" s="20">
        <f>'Mix of Debt &amp; Equity Financing'!N8</f>
        <v>4.5000000000000009</v>
      </c>
      <c r="J28" s="20">
        <f>'Mix of Debt &amp; Equity Financing'!O8</f>
        <v>4.7000000000000011</v>
      </c>
      <c r="L28" s="1"/>
      <c r="M28" s="1"/>
      <c r="N28" s="1"/>
      <c r="O28" s="5" t="s">
        <v>93</v>
      </c>
      <c r="P28" s="1"/>
      <c r="Q28" s="1"/>
      <c r="R28" s="1"/>
      <c r="S28" s="1"/>
      <c r="T28" s="1"/>
      <c r="U28" s="1"/>
    </row>
    <row r="29" spans="1:21" x14ac:dyDescent="0.3">
      <c r="A29" s="234" t="s">
        <v>25</v>
      </c>
      <c r="B29" s="38">
        <f>'Mix of Debt &amp; Equity Financing'!G24-'Mix of Debt &amp; Equity Financing'!G21-'Mix of Debt &amp; Equity Financing'!G31</f>
        <v>-0.14464633435105867</v>
      </c>
      <c r="C29" s="38">
        <f>'Mix of Debt &amp; Equity Financing'!H24-'Mix of Debt &amp; Equity Financing'!H21-'Mix of Debt &amp; Equity Financing'!H31</f>
        <v>-0.92018170091594698</v>
      </c>
      <c r="D29" s="38">
        <f>'Mix of Debt &amp; Equity Financing'!I24-'Mix of Debt &amp; Equity Financing'!I21-'Mix of Debt &amp; Equity Financing'!I31</f>
        <v>-0.23775530345667306</v>
      </c>
      <c r="E29" s="38">
        <f>'Mix of Debt &amp; Equity Financing'!J24-'Mix of Debt &amp; Equity Financing'!J21-'Mix of Debt &amp; Equity Financing'!J31</f>
        <v>0.39272212114176241</v>
      </c>
      <c r="F29" s="38">
        <f>'Mix of Debt &amp; Equity Financing'!K24-'Mix of Debt &amp; Equity Financing'!K21-'Mix of Debt &amp; Equity Financing'!K31</f>
        <v>1.2679587358817273</v>
      </c>
      <c r="G29" s="38">
        <f>'Mix of Debt &amp; Equity Financing'!L24-'Mix of Debt &amp; Equity Financing'!L21-'Mix of Debt &amp; Equity Financing'!L31</f>
        <v>5.3935401670285046</v>
      </c>
      <c r="H29" s="38">
        <f>'Mix of Debt &amp; Equity Financing'!M24-'Mix of Debt &amp; Equity Financing'!M21-'Mix of Debt &amp; Equity Financing'!M31</f>
        <v>11.375633242191334</v>
      </c>
      <c r="I29" s="38">
        <f>'Mix of Debt &amp; Equity Financing'!N24-'Mix of Debt &amp; Equity Financing'!N21-'Mix of Debt &amp; Equity Financing'!N31</f>
        <v>20.049668201177447</v>
      </c>
      <c r="J29" s="38">
        <f>'Mix of Debt &amp; Equity Financing'!O24-'Mix of Debt &amp; Equity Financing'!O21-'Mix of Debt &amp; Equity Financing'!O31</f>
        <v>-19.872981108292706</v>
      </c>
    </row>
    <row r="30" spans="1:21" x14ac:dyDescent="0.3">
      <c r="A30" s="234" t="s">
        <v>26</v>
      </c>
      <c r="B30" s="38">
        <f>B24*0.021</f>
        <v>3.0599100000000004</v>
      </c>
      <c r="C30" s="38">
        <f t="shared" ref="C30:J30" si="11">C24*0.021</f>
        <v>2.7539190000000002</v>
      </c>
      <c r="D30" s="38">
        <f t="shared" si="11"/>
        <v>3.0017717100000008</v>
      </c>
      <c r="E30" s="38">
        <f t="shared" si="11"/>
        <v>3.2719311639000006</v>
      </c>
      <c r="F30" s="38">
        <f t="shared" si="11"/>
        <v>3.5664049686510007</v>
      </c>
      <c r="G30" s="38">
        <f t="shared" si="11"/>
        <v>5.1712872045439511</v>
      </c>
      <c r="H30" s="38">
        <f t="shared" si="11"/>
        <v>7.4983664465887285</v>
      </c>
      <c r="I30" s="38">
        <f t="shared" si="11"/>
        <v>10.872631347553657</v>
      </c>
      <c r="J30" s="38">
        <f t="shared" si="11"/>
        <v>15.7653154539528</v>
      </c>
      <c r="O30" t="s">
        <v>118</v>
      </c>
    </row>
    <row r="31" spans="1:21" x14ac:dyDescent="0.3">
      <c r="A31" s="235" t="s">
        <v>27</v>
      </c>
      <c r="B31" s="39">
        <f>B27+B28-B29-B30+B26*(1-0.35)</f>
        <v>-2.7887693661733843</v>
      </c>
      <c r="C31" s="39">
        <f>C27+C28-C29-C30+C26*(1-0.35)</f>
        <v>-1.7782424295560497</v>
      </c>
      <c r="D31" s="39">
        <f>D27+D28-D29-D30+D26*(1-0.35)</f>
        <v>-1.7056561109861417</v>
      </c>
      <c r="E31" s="39">
        <f>E27+E28-E29-E30+E26*(1-0.35)</f>
        <v>-2.494895430555542</v>
      </c>
      <c r="F31" s="39">
        <f>F27+F28-F29-F30+F26*(1-0.35)</f>
        <v>-1.9317692316197201</v>
      </c>
      <c r="G31" s="39">
        <f t="shared" ref="G31:J31" si="12">G27+G28-G29-G30+G26*(1-0.35)</f>
        <v>-4.0747653858485977</v>
      </c>
      <c r="H31" s="39">
        <f t="shared" si="12"/>
        <v>-0.10207758062765815</v>
      </c>
      <c r="I31" s="39">
        <f t="shared" si="12"/>
        <v>-4.247262491910119</v>
      </c>
      <c r="J31" s="39">
        <f t="shared" si="12"/>
        <v>42.210719386730332</v>
      </c>
    </row>
    <row r="32" spans="1:21" ht="15" thickBot="1" x14ac:dyDescent="0.35"/>
    <row r="33" spans="1:16" ht="15" thickBot="1" x14ac:dyDescent="0.35">
      <c r="A33" s="201" t="s">
        <v>139</v>
      </c>
      <c r="B33" s="202"/>
      <c r="C33" s="203"/>
      <c r="D33" s="196"/>
      <c r="E33" s="196"/>
      <c r="F33" s="196"/>
      <c r="G33" s="196"/>
      <c r="H33" s="196"/>
      <c r="I33" s="196"/>
      <c r="J33" s="196"/>
      <c r="K33" s="196"/>
    </row>
    <row r="34" spans="1:16" x14ac:dyDescent="0.3">
      <c r="A34" s="32"/>
      <c r="B34" s="199">
        <v>2014</v>
      </c>
      <c r="C34" s="199">
        <v>2015</v>
      </c>
      <c r="D34" s="199">
        <v>2016</v>
      </c>
      <c r="E34" s="199">
        <v>2017</v>
      </c>
      <c r="F34" s="199">
        <v>2018</v>
      </c>
      <c r="G34" s="199">
        <v>2019</v>
      </c>
      <c r="H34" s="199">
        <v>2020</v>
      </c>
      <c r="I34" s="199">
        <v>2021</v>
      </c>
      <c r="J34" s="199">
        <v>2022</v>
      </c>
      <c r="K34" s="199">
        <v>2023</v>
      </c>
    </row>
    <row r="35" spans="1:16" x14ac:dyDescent="0.3">
      <c r="A35" s="234" t="s">
        <v>128</v>
      </c>
      <c r="B35">
        <v>-1.3</v>
      </c>
      <c r="J35" s="5"/>
      <c r="K35" s="1"/>
      <c r="L35" s="1"/>
      <c r="M35" s="1"/>
      <c r="N35" s="1"/>
      <c r="O35" s="1"/>
      <c r="P35" s="1"/>
    </row>
    <row r="36" spans="1:16" x14ac:dyDescent="0.3">
      <c r="A36" s="234" t="s">
        <v>129</v>
      </c>
      <c r="L36" s="1"/>
      <c r="M36" s="1"/>
      <c r="N36" s="1"/>
      <c r="O36" s="1"/>
      <c r="P36" s="1"/>
    </row>
    <row r="37" spans="1:16" x14ac:dyDescent="0.3">
      <c r="A37" s="234" t="s">
        <v>130</v>
      </c>
      <c r="C37" s="192">
        <f t="shared" ref="C37:K37" si="13">B9</f>
        <v>2.1150562500000043</v>
      </c>
      <c r="D37" s="192">
        <f t="shared" si="13"/>
        <v>0.45915374999999647</v>
      </c>
      <c r="E37" s="192">
        <f t="shared" si="13"/>
        <v>3.1999492968749959</v>
      </c>
      <c r="F37" s="192">
        <f t="shared" si="13"/>
        <v>4.5298448484374996</v>
      </c>
      <c r="G37" s="192">
        <f t="shared" si="13"/>
        <v>4.1294158835156223</v>
      </c>
      <c r="H37" s="192">
        <f t="shared" si="13"/>
        <v>4.6935690940124983</v>
      </c>
      <c r="I37" s="192">
        <f t="shared" si="13"/>
        <v>5.0373118577729983</v>
      </c>
      <c r="J37" s="192">
        <f t="shared" si="13"/>
        <v>5.3828043320839214</v>
      </c>
      <c r="K37" s="192">
        <f t="shared" si="13"/>
        <v>5.7301165053672829</v>
      </c>
    </row>
    <row r="38" spans="1:16" x14ac:dyDescent="0.3">
      <c r="A38" s="234" t="s">
        <v>131</v>
      </c>
      <c r="C38" s="192">
        <f t="shared" ref="C38:K38" si="14">B20</f>
        <v>32.455250777260595</v>
      </c>
      <c r="D38" s="192">
        <f t="shared" si="14"/>
        <v>29.34822569953451</v>
      </c>
      <c r="E38" s="192">
        <f t="shared" si="14"/>
        <v>27.665189904254717</v>
      </c>
      <c r="F38" s="192">
        <f t="shared" si="14"/>
        <v>29.866611453617015</v>
      </c>
      <c r="G38" s="192">
        <f t="shared" si="14"/>
        <v>34.594602766047451</v>
      </c>
      <c r="H38" s="192">
        <f t="shared" si="14"/>
        <v>57.137693387457894</v>
      </c>
      <c r="I38" s="192">
        <f t="shared" si="14"/>
        <v>90.022714410453986</v>
      </c>
      <c r="J38" s="192">
        <f t="shared" si="14"/>
        <v>137.91384129873717</v>
      </c>
      <c r="K38" s="192">
        <f t="shared" si="14"/>
        <v>122.57459227990881</v>
      </c>
    </row>
    <row r="39" spans="1:16" x14ac:dyDescent="0.3">
      <c r="A39" s="236" t="s">
        <v>132</v>
      </c>
      <c r="B39" s="193">
        <f>B35</f>
        <v>-1.3</v>
      </c>
      <c r="C39" s="194">
        <f>SUM(C37:C38)</f>
        <v>34.570307027260597</v>
      </c>
      <c r="D39" s="194">
        <f t="shared" ref="D39:K39" si="15">SUM(D37:D38)</f>
        <v>29.807379449534505</v>
      </c>
      <c r="E39" s="194">
        <f t="shared" si="15"/>
        <v>30.865139201129715</v>
      </c>
      <c r="F39" s="194">
        <f t="shared" si="15"/>
        <v>34.396456302054517</v>
      </c>
      <c r="G39" s="194">
        <f t="shared" si="15"/>
        <v>38.724018649563071</v>
      </c>
      <c r="H39" s="194">
        <f t="shared" si="15"/>
        <v>61.83126248147039</v>
      </c>
      <c r="I39" s="194">
        <f t="shared" si="15"/>
        <v>95.060026268226977</v>
      </c>
      <c r="J39" s="194">
        <f t="shared" si="15"/>
        <v>143.2966456308211</v>
      </c>
      <c r="K39" s="194">
        <f t="shared" si="15"/>
        <v>128.30470878527609</v>
      </c>
    </row>
    <row r="40" spans="1:16" ht="15" thickBot="1" x14ac:dyDescent="0.35">
      <c r="A40" s="32"/>
      <c r="B40" s="195"/>
      <c r="C40" s="196"/>
      <c r="D40" s="196"/>
      <c r="E40" s="196"/>
      <c r="F40" s="196"/>
      <c r="G40" s="196"/>
      <c r="H40" s="196"/>
      <c r="I40" s="196"/>
      <c r="J40" s="196"/>
      <c r="K40" s="196"/>
    </row>
    <row r="41" spans="1:16" ht="15" thickBot="1" x14ac:dyDescent="0.35">
      <c r="A41" s="201" t="s">
        <v>140</v>
      </c>
      <c r="B41" s="202"/>
      <c r="C41" s="203"/>
    </row>
    <row r="42" spans="1:16" x14ac:dyDescent="0.3">
      <c r="A42" s="32"/>
      <c r="B42" s="199">
        <v>2014</v>
      </c>
      <c r="C42" s="199">
        <v>2015</v>
      </c>
      <c r="D42" s="199">
        <v>2016</v>
      </c>
      <c r="E42" s="199">
        <v>2017</v>
      </c>
      <c r="F42" s="199">
        <v>2018</v>
      </c>
      <c r="G42" s="199">
        <v>2019</v>
      </c>
      <c r="H42" s="199">
        <v>2020</v>
      </c>
      <c r="I42" s="199">
        <v>2021</v>
      </c>
      <c r="J42" s="199">
        <v>2022</v>
      </c>
      <c r="K42" s="199">
        <v>2023</v>
      </c>
    </row>
    <row r="43" spans="1:16" x14ac:dyDescent="0.3">
      <c r="A43" s="234" t="s">
        <v>128</v>
      </c>
      <c r="B43">
        <v>-1.3</v>
      </c>
      <c r="J43" s="5"/>
      <c r="K43" s="1"/>
    </row>
    <row r="44" spans="1:16" x14ac:dyDescent="0.3">
      <c r="A44" s="234" t="s">
        <v>129</v>
      </c>
    </row>
    <row r="45" spans="1:16" x14ac:dyDescent="0.3">
      <c r="A45" s="234" t="s">
        <v>130</v>
      </c>
      <c r="C45" s="192">
        <f>B20</f>
        <v>32.455250777260595</v>
      </c>
      <c r="D45" s="192">
        <f t="shared" ref="D45:K45" si="16">C20</f>
        <v>29.34822569953451</v>
      </c>
      <c r="E45" s="192">
        <f t="shared" si="16"/>
        <v>27.665189904254717</v>
      </c>
      <c r="F45" s="192">
        <f t="shared" si="16"/>
        <v>29.866611453617015</v>
      </c>
      <c r="G45" s="192">
        <f t="shared" si="16"/>
        <v>34.594602766047451</v>
      </c>
      <c r="H45" s="192">
        <f t="shared" si="16"/>
        <v>57.137693387457894</v>
      </c>
      <c r="I45" s="192">
        <f t="shared" si="16"/>
        <v>90.022714410453986</v>
      </c>
      <c r="J45" s="192">
        <f t="shared" si="16"/>
        <v>137.91384129873717</v>
      </c>
      <c r="K45" s="192">
        <f t="shared" si="16"/>
        <v>122.57459227990881</v>
      </c>
    </row>
    <row r="46" spans="1:16" x14ac:dyDescent="0.3">
      <c r="A46" s="234" t="s">
        <v>131</v>
      </c>
      <c r="C46" s="192">
        <f>B31</f>
        <v>-2.7887693661733843</v>
      </c>
      <c r="D46" s="192">
        <f t="shared" ref="D46:K46" si="17">C31</f>
        <v>-1.7782424295560497</v>
      </c>
      <c r="E46" s="192">
        <f t="shared" si="17"/>
        <v>-1.7056561109861417</v>
      </c>
      <c r="F46" s="192">
        <f t="shared" si="17"/>
        <v>-2.494895430555542</v>
      </c>
      <c r="G46" s="192">
        <f t="shared" si="17"/>
        <v>-1.9317692316197201</v>
      </c>
      <c r="H46" s="192">
        <f t="shared" si="17"/>
        <v>-4.0747653858485977</v>
      </c>
      <c r="I46" s="192">
        <f t="shared" si="17"/>
        <v>-0.10207758062765815</v>
      </c>
      <c r="J46" s="192">
        <f t="shared" si="17"/>
        <v>-4.247262491910119</v>
      </c>
      <c r="K46" s="192">
        <f t="shared" si="17"/>
        <v>42.210719386730332</v>
      </c>
    </row>
    <row r="47" spans="1:16" x14ac:dyDescent="0.3">
      <c r="A47" s="236" t="s">
        <v>132</v>
      </c>
      <c r="B47" s="193">
        <f>B43</f>
        <v>-1.3</v>
      </c>
      <c r="C47" s="194">
        <f>SUM(C45:C46)</f>
        <v>29.666481411087211</v>
      </c>
      <c r="D47" s="194">
        <f t="shared" ref="D47" si="18">SUM(D45:D46)</f>
        <v>27.569983269978461</v>
      </c>
      <c r="E47" s="194">
        <f t="shared" ref="E47" si="19">SUM(E45:E46)</f>
        <v>25.959533793268577</v>
      </c>
      <c r="F47" s="194">
        <f t="shared" ref="F47" si="20">SUM(F45:F46)</f>
        <v>27.371716023061474</v>
      </c>
      <c r="G47" s="194">
        <f t="shared" ref="G47" si="21">SUM(G45:G46)</f>
        <v>32.662833534427733</v>
      </c>
      <c r="H47" s="194">
        <f t="shared" ref="H47" si="22">SUM(H45:H46)</f>
        <v>53.062928001609293</v>
      </c>
      <c r="I47" s="194">
        <f t="shared" ref="I47" si="23">SUM(I45:I46)</f>
        <v>89.920636829826321</v>
      </c>
      <c r="J47" s="194">
        <f t="shared" ref="J47" si="24">SUM(J45:J46)</f>
        <v>133.66657880682706</v>
      </c>
      <c r="K47" s="194">
        <f t="shared" ref="K47" si="25">SUM(K45:K46)</f>
        <v>164.78531166663913</v>
      </c>
    </row>
    <row r="49" spans="1:7" ht="15" thickBot="1" x14ac:dyDescent="0.35"/>
    <row r="50" spans="1:7" ht="15" thickBot="1" x14ac:dyDescent="0.35">
      <c r="A50" s="32"/>
      <c r="B50" s="240" t="s">
        <v>139</v>
      </c>
      <c r="C50" s="241"/>
      <c r="D50" s="242" t="s">
        <v>140</v>
      </c>
      <c r="E50" s="242"/>
      <c r="F50" s="243"/>
      <c r="G50" s="196"/>
    </row>
    <row r="51" spans="1:7" x14ac:dyDescent="0.3">
      <c r="A51" s="237" t="s">
        <v>134</v>
      </c>
      <c r="B51" s="209">
        <f>4.5%</f>
        <v>4.4999999999999998E-2</v>
      </c>
      <c r="C51" s="210"/>
      <c r="D51" s="211">
        <v>0.05</v>
      </c>
      <c r="E51" s="212"/>
      <c r="F51" s="213"/>
    </row>
    <row r="52" spans="1:7" x14ac:dyDescent="0.3">
      <c r="A52" s="238" t="s">
        <v>133</v>
      </c>
      <c r="B52" s="214">
        <f>NPV(B51,C39:K39)+B39</f>
        <v>450.47548024897958</v>
      </c>
      <c r="C52" s="215"/>
      <c r="D52" s="215">
        <f>NPV(D51,C47:K47)+B47</f>
        <v>422.69053869422788</v>
      </c>
      <c r="E52" s="215"/>
      <c r="F52" s="216"/>
    </row>
    <row r="53" spans="1:7" x14ac:dyDescent="0.3">
      <c r="A53" s="238" t="s">
        <v>141</v>
      </c>
      <c r="B53" s="217">
        <f>'Debt Financing'!O24+Landmark!O23</f>
        <v>140.00154171966665</v>
      </c>
      <c r="C53" s="218"/>
      <c r="D53" s="218">
        <f>Landmark!O23+'Mix of Debt &amp; Equity Financing'!O24</f>
        <v>140.00154171966665</v>
      </c>
      <c r="E53" s="204"/>
      <c r="F53" s="219"/>
    </row>
    <row r="54" spans="1:7" x14ac:dyDescent="0.3">
      <c r="A54" s="238" t="s">
        <v>135</v>
      </c>
      <c r="B54" s="220">
        <f>Landmark!O33+'Debt Financing'!O35</f>
        <v>468.05972116677981</v>
      </c>
      <c r="C54" s="221"/>
      <c r="D54" s="215">
        <f>Landmark!O33+'Mix of Debt &amp; Equity Financing'!O35</f>
        <v>430.15972116677978</v>
      </c>
      <c r="E54" s="215"/>
      <c r="F54" s="216"/>
    </row>
    <row r="55" spans="1:7" x14ac:dyDescent="0.3">
      <c r="A55" s="238" t="s">
        <v>136</v>
      </c>
      <c r="B55" s="220">
        <f>B53-B54</f>
        <v>-328.05817944711316</v>
      </c>
      <c r="C55" s="221"/>
      <c r="D55" s="215">
        <f>D53-D54</f>
        <v>-290.15817944711313</v>
      </c>
      <c r="E55" s="215"/>
      <c r="F55" s="216"/>
    </row>
    <row r="56" spans="1:7" x14ac:dyDescent="0.3">
      <c r="A56" s="238" t="s">
        <v>137</v>
      </c>
      <c r="B56" s="222">
        <v>3.5</v>
      </c>
      <c r="C56" s="223"/>
      <c r="D56" s="224">
        <v>3.5</v>
      </c>
      <c r="E56" s="224"/>
      <c r="F56" s="225"/>
    </row>
    <row r="57" spans="1:7" ht="15" thickBot="1" x14ac:dyDescent="0.35">
      <c r="A57" s="239" t="s">
        <v>138</v>
      </c>
      <c r="B57" s="226">
        <f>B55/B56</f>
        <v>-93.730908413460909</v>
      </c>
      <c r="C57" s="227"/>
      <c r="D57" s="228">
        <f>D55/D56</f>
        <v>-82.902336984889459</v>
      </c>
      <c r="E57" s="228"/>
      <c r="F57" s="229"/>
    </row>
  </sheetData>
  <mergeCells count="20">
    <mergeCell ref="B50:C50"/>
    <mergeCell ref="B52:C52"/>
    <mergeCell ref="B53:C53"/>
    <mergeCell ref="B54:C54"/>
    <mergeCell ref="D57:F57"/>
    <mergeCell ref="H11:J11"/>
    <mergeCell ref="H22:J22"/>
    <mergeCell ref="A33:C33"/>
    <mergeCell ref="A41:C41"/>
    <mergeCell ref="B55:C55"/>
    <mergeCell ref="B56:C56"/>
    <mergeCell ref="B57:C57"/>
    <mergeCell ref="B51:C51"/>
    <mergeCell ref="D51:F51"/>
    <mergeCell ref="D52:F52"/>
    <mergeCell ref="D53:F53"/>
    <mergeCell ref="D54:F54"/>
    <mergeCell ref="D55:F55"/>
    <mergeCell ref="D56:F56"/>
    <mergeCell ref="D50:F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110" zoomScaleNormal="110" workbookViewId="0">
      <selection activeCell="A24" sqref="A24"/>
    </sheetView>
  </sheetViews>
  <sheetFormatPr defaultColWidth="9.109375" defaultRowHeight="12" x14ac:dyDescent="0.25"/>
  <cols>
    <col min="1" max="1" width="28.88671875" style="5" customWidth="1"/>
    <col min="2" max="2" width="8" style="2" customWidth="1"/>
    <col min="3" max="3" width="8.109375" style="2" customWidth="1"/>
    <col min="4" max="5" width="7.88671875" style="2" customWidth="1"/>
    <col min="6" max="6" width="8.109375" style="2" customWidth="1"/>
    <col min="7" max="7" width="9.109375" style="1"/>
    <col min="8" max="8" width="46.33203125" style="1" bestFit="1" customWidth="1"/>
    <col min="9" max="15" width="9.109375" style="1"/>
    <col min="16" max="16" width="9.109375" style="102"/>
    <col min="17" max="16384" width="9.109375" style="1"/>
  </cols>
  <sheetData>
    <row r="1" spans="1:22" x14ac:dyDescent="0.25">
      <c r="A1" s="4" t="s">
        <v>66</v>
      </c>
      <c r="B1" s="36"/>
      <c r="C1" s="36"/>
      <c r="D1" s="36"/>
      <c r="E1" s="36"/>
      <c r="F1" s="36"/>
    </row>
    <row r="2" spans="1:22" x14ac:dyDescent="0.25">
      <c r="A2" s="9"/>
      <c r="B2" s="37">
        <v>2015</v>
      </c>
      <c r="C2" s="37">
        <v>2016</v>
      </c>
      <c r="D2" s="37">
        <v>2017</v>
      </c>
      <c r="E2" s="37">
        <v>2018</v>
      </c>
      <c r="F2" s="37">
        <v>2019</v>
      </c>
    </row>
    <row r="3" spans="1:22" x14ac:dyDescent="0.25">
      <c r="A3" s="8" t="s">
        <v>3</v>
      </c>
      <c r="B3" s="20">
        <f>Landmark!F4*1.05</f>
        <v>362.77500000000003</v>
      </c>
      <c r="C3" s="20">
        <f>B3*1.05</f>
        <v>380.91375000000005</v>
      </c>
      <c r="D3" s="20">
        <f>C3*1.05</f>
        <v>399.95943750000009</v>
      </c>
      <c r="E3" s="20">
        <f>D3*1.05</f>
        <v>419.95740937500011</v>
      </c>
      <c r="F3" s="20">
        <f>E3*1.05</f>
        <v>440.95527984375013</v>
      </c>
    </row>
    <row r="4" spans="1:22" x14ac:dyDescent="0.25">
      <c r="A4" s="11" t="s">
        <v>16</v>
      </c>
      <c r="B4" s="20">
        <f>B3*0.015</f>
        <v>5.4416250000000002</v>
      </c>
      <c r="C4" s="20">
        <f>C3*0.015</f>
        <v>5.7137062500000004</v>
      </c>
      <c r="D4" s="20">
        <f>D3*0.015</f>
        <v>5.9993915625000014</v>
      </c>
      <c r="E4" s="20">
        <f>E3*0.015</f>
        <v>6.2993611406250016</v>
      </c>
      <c r="F4" s="20">
        <f>F3*0.015</f>
        <v>6.6143291976562519</v>
      </c>
      <c r="G4" s="91"/>
    </row>
    <row r="5" spans="1:22" x14ac:dyDescent="0.25">
      <c r="A5" s="14" t="s">
        <v>7</v>
      </c>
      <c r="B5" s="20">
        <f>B4*(1-0.35)</f>
        <v>3.53705625</v>
      </c>
      <c r="C5" s="20">
        <f t="shared" ref="C5:F5" si="0">C4*(1-0.35)</f>
        <v>3.7139090625000004</v>
      </c>
      <c r="D5" s="20">
        <f t="shared" si="0"/>
        <v>3.899604515625001</v>
      </c>
      <c r="E5" s="20">
        <f t="shared" si="0"/>
        <v>4.0945847414062513</v>
      </c>
      <c r="F5" s="20">
        <f t="shared" si="0"/>
        <v>4.2993139784765635</v>
      </c>
    </row>
    <row r="6" spans="1:22" x14ac:dyDescent="0.25">
      <c r="A6" s="14" t="s">
        <v>13</v>
      </c>
      <c r="B6" s="20">
        <f>Landmark!F8+0.3</f>
        <v>2.1</v>
      </c>
      <c r="C6" s="20">
        <f>B6+0.3</f>
        <v>2.4</v>
      </c>
      <c r="D6" s="20">
        <f>C6+0.3</f>
        <v>2.6999999999999997</v>
      </c>
      <c r="E6" s="20">
        <f>D6+0.3</f>
        <v>2.9999999999999996</v>
      </c>
      <c r="F6" s="20">
        <f>E6+0.3</f>
        <v>3.2999999999999994</v>
      </c>
    </row>
    <row r="7" spans="1:22" x14ac:dyDescent="0.25">
      <c r="A7" s="5" t="s">
        <v>25</v>
      </c>
      <c r="B7" s="38">
        <f>B3*0.074-(Landmark!F23-Landmark!F20-Landmark!F30)</f>
        <v>1.3453499999999927</v>
      </c>
      <c r="C7" s="38">
        <f>C3*0.074-B3*0.074</f>
        <v>1.3422675000000019</v>
      </c>
      <c r="D7" s="38">
        <f>D3*0.074-C3*0.074</f>
        <v>1.4093808750000036</v>
      </c>
      <c r="E7" s="38">
        <f>E3*0.074-D3*0.074</f>
        <v>1.479849918750002</v>
      </c>
      <c r="F7" s="38">
        <f>F3*0.074-E3*0.074</f>
        <v>1.5538424146874981</v>
      </c>
    </row>
    <row r="8" spans="1:22" x14ac:dyDescent="0.25">
      <c r="A8" s="5" t="s">
        <v>26</v>
      </c>
      <c r="B8" s="38">
        <f>B3*0.01</f>
        <v>3.6277500000000003</v>
      </c>
      <c r="C8" s="38">
        <f>C3*0.01</f>
        <v>3.8091375000000007</v>
      </c>
      <c r="D8" s="38">
        <f>D3*0.01</f>
        <v>3.9995943750000009</v>
      </c>
      <c r="E8" s="38">
        <f>E3*0.01</f>
        <v>4.1995740937500008</v>
      </c>
      <c r="F8" s="38">
        <f>F3*0.01</f>
        <v>4.4095527984375016</v>
      </c>
    </row>
    <row r="9" spans="1:22" x14ac:dyDescent="0.25">
      <c r="A9" s="19" t="s">
        <v>27</v>
      </c>
      <c r="B9" s="39">
        <f>B5+B6-B7-B8</f>
        <v>0.66395625000000758</v>
      </c>
      <c r="C9" s="39">
        <f t="shared" ref="C9:F9" si="1">C5+C6-C7-C8</f>
        <v>0.96250406249999765</v>
      </c>
      <c r="D9" s="39">
        <f t="shared" si="1"/>
        <v>1.1906292656249962</v>
      </c>
      <c r="E9" s="39">
        <f t="shared" si="1"/>
        <v>1.4151607289062484</v>
      </c>
      <c r="F9" s="39">
        <f t="shared" si="1"/>
        <v>1.6359187653515628</v>
      </c>
    </row>
    <row r="11" spans="1:22" x14ac:dyDescent="0.25">
      <c r="A11" s="4" t="s">
        <v>67</v>
      </c>
      <c r="B11" s="36"/>
      <c r="C11" s="36"/>
      <c r="D11" s="36"/>
      <c r="E11" s="36"/>
      <c r="F11" s="36"/>
    </row>
    <row r="12" spans="1:22" x14ac:dyDescent="0.25">
      <c r="A12" s="9"/>
      <c r="B12" s="37">
        <v>2015</v>
      </c>
      <c r="C12" s="37">
        <v>2016</v>
      </c>
      <c r="D12" s="37">
        <v>2017</v>
      </c>
      <c r="E12" s="37">
        <v>2018</v>
      </c>
      <c r="F12" s="37">
        <v>2019</v>
      </c>
    </row>
    <row r="13" spans="1:22" x14ac:dyDescent="0.25">
      <c r="A13" s="8" t="s">
        <v>3</v>
      </c>
      <c r="B13" s="20">
        <f>'Debt Financing'!F4*1.04</f>
        <v>168.376</v>
      </c>
      <c r="C13" s="20">
        <f>B13*1.04</f>
        <v>175.11104</v>
      </c>
      <c r="D13" s="20">
        <f>C13*1.04</f>
        <v>182.11548160000001</v>
      </c>
      <c r="E13" s="20">
        <f>D13*1.04</f>
        <v>189.40010086400002</v>
      </c>
      <c r="F13" s="20">
        <f>E13*1.04</f>
        <v>196.97610489856004</v>
      </c>
      <c r="G13" s="2"/>
    </row>
    <row r="14" spans="1:22" s="2" customFormat="1" x14ac:dyDescent="0.25">
      <c r="A14" s="11" t="s">
        <v>16</v>
      </c>
      <c r="B14" s="20">
        <f>B13*0.04</f>
        <v>6.7350400000000006</v>
      </c>
      <c r="C14" s="20">
        <f>C13*0.04</f>
        <v>7.0044415999999998</v>
      </c>
      <c r="D14" s="20">
        <f>D13*0.04</f>
        <v>7.2846192640000007</v>
      </c>
      <c r="E14" s="20">
        <f>E13*0.04</f>
        <v>7.5760040345600013</v>
      </c>
      <c r="F14" s="20">
        <f>F13*0.04</f>
        <v>7.8790441959424014</v>
      </c>
      <c r="P14" s="102"/>
    </row>
    <row r="15" spans="1:22" s="2" customFormat="1" ht="12.6" thickBot="1" x14ac:dyDescent="0.3">
      <c r="A15" s="11" t="s">
        <v>4</v>
      </c>
      <c r="B15" s="20">
        <v>0.4</v>
      </c>
      <c r="C15" s="20">
        <v>0.4</v>
      </c>
      <c r="D15" s="20">
        <v>0.4</v>
      </c>
      <c r="E15" s="20">
        <v>0.4</v>
      </c>
      <c r="F15" s="20">
        <v>0.4</v>
      </c>
      <c r="P15" s="102"/>
    </row>
    <row r="16" spans="1:22" x14ac:dyDescent="0.25">
      <c r="A16" s="14" t="s">
        <v>7</v>
      </c>
      <c r="B16" s="20">
        <f>(B14-B15)*(1-0.35)</f>
        <v>4.1177760000000001</v>
      </c>
      <c r="C16" s="20">
        <f>(C14-C15)*(1-0.35)</f>
        <v>4.2928870400000001</v>
      </c>
      <c r="D16" s="20">
        <f>(D14-D15)*(1-0.35)</f>
        <v>4.4750025216000004</v>
      </c>
      <c r="E16" s="20">
        <f>(E14-E15)*(1-0.35)</f>
        <v>4.6644026224640012</v>
      </c>
      <c r="F16" s="20">
        <f>(F14-F15)*(1-0.35)</f>
        <v>4.8613787273625606</v>
      </c>
      <c r="G16" s="2"/>
      <c r="V16" s="94"/>
    </row>
    <row r="17" spans="1:22" x14ac:dyDescent="0.25">
      <c r="A17" s="14" t="s">
        <v>13</v>
      </c>
      <c r="B17" s="20">
        <f>'Debt Financing'!F8+0.2</f>
        <v>3.1</v>
      </c>
      <c r="C17" s="20">
        <v>3.3</v>
      </c>
      <c r="D17" s="20">
        <v>3.5</v>
      </c>
      <c r="E17" s="20">
        <v>3.7</v>
      </c>
      <c r="F17" s="20">
        <v>3.9</v>
      </c>
      <c r="G17" s="38">
        <f>G4*$V$17</f>
        <v>0</v>
      </c>
      <c r="H17" s="38">
        <f t="shared" ref="H17:O17" si="2">H4*$V$17</f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Q17" s="101">
        <f>B17/$B$4</f>
        <v>0.56968276939333384</v>
      </c>
      <c r="R17" s="101">
        <f t="shared" ref="R17:U17" si="3">C17/C4</f>
        <v>0.57755856804854111</v>
      </c>
      <c r="S17" s="101">
        <f t="shared" si="3"/>
        <v>0.5833924929783243</v>
      </c>
      <c r="T17" s="101">
        <f t="shared" si="3"/>
        <v>0.58736114939314288</v>
      </c>
      <c r="U17" s="101">
        <f t="shared" si="3"/>
        <v>0.5896289530587534</v>
      </c>
      <c r="V17" s="98">
        <f>AVERAGE(Q17:U17)</f>
        <v>0.58152478657441908</v>
      </c>
    </row>
    <row r="18" spans="1:22" x14ac:dyDescent="0.25">
      <c r="A18" s="5" t="s">
        <v>25</v>
      </c>
      <c r="B18" s="38">
        <f>B13*0.053-('Debt Financing'!F24-'Debt Financing'!F21-'Debt Financing'!F31)</f>
        <v>0.42392800000000186</v>
      </c>
      <c r="C18" s="38">
        <f>C13*0.053-B13*0.053</f>
        <v>0.35695712000000057</v>
      </c>
      <c r="D18" s="38">
        <f>D13*0.053-C13*0.053</f>
        <v>0.37123540480000017</v>
      </c>
      <c r="E18" s="38">
        <f>E13*0.053-D13*0.053</f>
        <v>0.38608482099200003</v>
      </c>
      <c r="F18" s="38">
        <f>F13*0.053-E13*0.053</f>
        <v>0.40152821383168025</v>
      </c>
      <c r="G18" s="89">
        <f>G4*$V$18</f>
        <v>0</v>
      </c>
      <c r="H18" s="89">
        <f t="shared" ref="H18:O18" si="4">H4*$V$18</f>
        <v>0</v>
      </c>
      <c r="I18" s="89">
        <f t="shared" si="4"/>
        <v>0</v>
      </c>
      <c r="J18" s="89">
        <f t="shared" si="4"/>
        <v>0</v>
      </c>
      <c r="K18" s="89">
        <f t="shared" si="4"/>
        <v>0</v>
      </c>
      <c r="L18" s="89">
        <f t="shared" si="4"/>
        <v>0</v>
      </c>
      <c r="M18" s="89">
        <f t="shared" si="4"/>
        <v>0</v>
      </c>
      <c r="N18" s="89">
        <f t="shared" si="4"/>
        <v>0</v>
      </c>
      <c r="O18" s="89">
        <f t="shared" si="4"/>
        <v>0</v>
      </c>
      <c r="Q18" s="101">
        <f>B18/B4</f>
        <v>7.79046700204446E-2</v>
      </c>
      <c r="R18" s="101">
        <f t="shared" ref="R18:U18" si="5">C18/C4</f>
        <v>6.2473831236948968E-2</v>
      </c>
      <c r="S18" s="101">
        <f t="shared" si="5"/>
        <v>6.1878842368025565E-2</v>
      </c>
      <c r="T18" s="101">
        <f t="shared" si="5"/>
        <v>6.1289520059758629E-2</v>
      </c>
      <c r="U18" s="101">
        <f t="shared" si="5"/>
        <v>6.0705810344903813E-2</v>
      </c>
      <c r="V18" s="98">
        <f t="shared" ref="V18:V19" si="6">AVERAGE(Q18:U18)</f>
        <v>6.4850534806016311E-2</v>
      </c>
    </row>
    <row r="19" spans="1:22" x14ac:dyDescent="0.25">
      <c r="A19" s="5" t="s">
        <v>26</v>
      </c>
      <c r="B19" s="38">
        <f>B13*0.025</f>
        <v>4.2094000000000005</v>
      </c>
      <c r="C19" s="38">
        <f>C13*0.025</f>
        <v>4.3777759999999999</v>
      </c>
      <c r="D19" s="38">
        <f>D13*0.025</f>
        <v>4.5528870400000008</v>
      </c>
      <c r="E19" s="38">
        <f>E13*0.025</f>
        <v>4.7350025216000011</v>
      </c>
      <c r="F19" s="38">
        <f>F13*0.025</f>
        <v>4.924402622464001</v>
      </c>
      <c r="G19" s="89">
        <f>G4*$V$19</f>
        <v>0</v>
      </c>
      <c r="H19" s="89">
        <f t="shared" ref="H19:O19" si="7">H4*$V$19</f>
        <v>0</v>
      </c>
      <c r="I19" s="89">
        <f t="shared" si="7"/>
        <v>0</v>
      </c>
      <c r="J19" s="89">
        <f t="shared" si="7"/>
        <v>0</v>
      </c>
      <c r="K19" s="89">
        <f t="shared" si="7"/>
        <v>0</v>
      </c>
      <c r="L19" s="89">
        <f t="shared" si="7"/>
        <v>0</v>
      </c>
      <c r="M19" s="89">
        <f t="shared" si="7"/>
        <v>0</v>
      </c>
      <c r="N19" s="89">
        <f t="shared" si="7"/>
        <v>0</v>
      </c>
      <c r="O19" s="89">
        <f t="shared" si="7"/>
        <v>0</v>
      </c>
      <c r="Q19" s="101">
        <f>B19/B4</f>
        <v>0.77355569338203212</v>
      </c>
      <c r="R19" s="101">
        <f t="shared" ref="R19:U19" si="8">C19/C4</f>
        <v>0.76618849630220309</v>
      </c>
      <c r="S19" s="101">
        <f t="shared" si="8"/>
        <v>0.75889146300408683</v>
      </c>
      <c r="T19" s="101">
        <f t="shared" si="8"/>
        <v>0.75166392526119086</v>
      </c>
      <c r="U19" s="101">
        <f t="shared" si="8"/>
        <v>0.7445052212110842</v>
      </c>
      <c r="V19" s="98">
        <f t="shared" si="6"/>
        <v>0.75896095983211942</v>
      </c>
    </row>
    <row r="20" spans="1:22" x14ac:dyDescent="0.25">
      <c r="A20" s="19" t="s">
        <v>27</v>
      </c>
      <c r="B20" s="39">
        <f>B16+B17-B18-B19+B15*(1-0.35)</f>
        <v>2.8444479999999981</v>
      </c>
      <c r="C20" s="39">
        <f>C16+C17-C18-C19+C15*(1-0.35)</f>
        <v>3.1181539199999992</v>
      </c>
      <c r="D20" s="39">
        <f>D16+D17-D18-D19+D15*(1-0.35)</f>
        <v>3.3108800767999993</v>
      </c>
      <c r="E20" s="39">
        <f>E16+E17-E18-E19+E15*(1-0.35)</f>
        <v>3.5033152798720009</v>
      </c>
      <c r="F20" s="39">
        <f>F16+F17-F18-F19+F15*(1-0.35)</f>
        <v>3.6954478910668787</v>
      </c>
      <c r="G20" s="1">
        <f>SUM(G17:G19)</f>
        <v>0</v>
      </c>
      <c r="H20" s="1">
        <f t="shared" ref="H20:O20" si="9">SUM(H17:H19)</f>
        <v>0</v>
      </c>
      <c r="I20" s="1">
        <f t="shared" si="9"/>
        <v>0</v>
      </c>
      <c r="J20" s="1">
        <f t="shared" si="9"/>
        <v>0</v>
      </c>
      <c r="K20" s="1">
        <f t="shared" si="9"/>
        <v>0</v>
      </c>
      <c r="L20" s="1">
        <f t="shared" si="9"/>
        <v>0</v>
      </c>
      <c r="M20" s="1">
        <f t="shared" si="9"/>
        <v>0</v>
      </c>
      <c r="N20" s="1">
        <f t="shared" si="9"/>
        <v>0</v>
      </c>
      <c r="O20" s="1">
        <f t="shared" si="9"/>
        <v>0</v>
      </c>
      <c r="Q20" s="92"/>
      <c r="R20" s="92"/>
      <c r="S20" s="92"/>
      <c r="T20" s="92"/>
      <c r="U20" s="92"/>
      <c r="V20" s="95"/>
    </row>
    <row r="21" spans="1:22" x14ac:dyDescent="0.25">
      <c r="B21" s="42"/>
      <c r="C21" s="42"/>
      <c r="D21" s="42"/>
      <c r="E21" s="42"/>
      <c r="F21" s="42"/>
      <c r="G21" s="89"/>
      <c r="H21" s="89"/>
      <c r="I21" s="89"/>
      <c r="J21" s="89"/>
      <c r="K21" s="89"/>
      <c r="L21" s="89"/>
      <c r="M21" s="89"/>
      <c r="N21" s="89"/>
      <c r="O21" s="89"/>
      <c r="Q21" s="92"/>
      <c r="R21" s="92"/>
      <c r="S21" s="92"/>
      <c r="T21" s="92"/>
      <c r="U21" s="92"/>
      <c r="V21" s="95"/>
    </row>
    <row r="22" spans="1:22" x14ac:dyDescent="0.25">
      <c r="A22" s="5" t="s">
        <v>68</v>
      </c>
      <c r="G22" s="89"/>
      <c r="H22" s="89"/>
      <c r="I22" s="89"/>
      <c r="J22" s="89"/>
      <c r="K22" s="89"/>
      <c r="L22" s="89"/>
      <c r="M22" s="89"/>
      <c r="N22" s="89"/>
      <c r="O22" s="89"/>
      <c r="Q22" s="92"/>
      <c r="R22" s="92"/>
      <c r="S22" s="92"/>
      <c r="T22" s="92"/>
      <c r="U22" s="92"/>
      <c r="V22" s="95"/>
    </row>
    <row r="23" spans="1:22" x14ac:dyDescent="0.25">
      <c r="G23" s="89"/>
      <c r="H23" s="89"/>
      <c r="I23" s="89"/>
      <c r="J23" s="89"/>
      <c r="K23" s="89"/>
      <c r="L23" s="89"/>
      <c r="M23" s="89"/>
      <c r="N23" s="89"/>
      <c r="O23" s="89"/>
      <c r="Q23" s="92"/>
      <c r="R23" s="92"/>
      <c r="S23" s="92"/>
      <c r="T23" s="92"/>
      <c r="U23" s="92"/>
      <c r="V23" s="95"/>
    </row>
    <row r="24" spans="1:22" x14ac:dyDescent="0.25">
      <c r="Q24" s="92"/>
      <c r="R24" s="92"/>
      <c r="S24" s="92"/>
      <c r="T24" s="92"/>
      <c r="U24" s="92"/>
      <c r="V24" s="95"/>
    </row>
    <row r="25" spans="1:22" x14ac:dyDescent="0.25">
      <c r="G25" s="89"/>
      <c r="H25" s="89"/>
      <c r="I25" s="89"/>
      <c r="J25" s="89"/>
      <c r="K25" s="89"/>
      <c r="L25" s="89"/>
      <c r="M25" s="89"/>
      <c r="N25" s="89"/>
      <c r="O25" s="89"/>
      <c r="Q25" s="92"/>
      <c r="R25" s="92"/>
      <c r="S25" s="92"/>
      <c r="T25" s="92"/>
      <c r="U25" s="92"/>
      <c r="V25" s="95"/>
    </row>
    <row r="26" spans="1:22" x14ac:dyDescent="0.25">
      <c r="G26" s="89"/>
      <c r="H26" s="89"/>
      <c r="I26" s="89"/>
      <c r="J26" s="89"/>
      <c r="K26" s="89"/>
      <c r="L26" s="89"/>
      <c r="M26" s="89"/>
      <c r="N26" s="89"/>
      <c r="O26" s="89"/>
      <c r="Q26" s="92"/>
      <c r="R26" s="92"/>
      <c r="S26" s="92"/>
      <c r="T26" s="92"/>
      <c r="U26" s="92"/>
      <c r="V26" s="95"/>
    </row>
    <row r="27" spans="1:22" x14ac:dyDescent="0.25">
      <c r="G27" s="89"/>
      <c r="H27" s="89"/>
      <c r="I27" s="89"/>
      <c r="J27" s="89"/>
      <c r="K27" s="89"/>
      <c r="L27" s="89"/>
      <c r="M27" s="89"/>
      <c r="N27" s="89"/>
      <c r="O27" s="89"/>
      <c r="Q27" s="92"/>
      <c r="R27" s="92"/>
      <c r="S27" s="92"/>
      <c r="T27" s="92"/>
      <c r="U27" s="92"/>
      <c r="V27" s="95"/>
    </row>
    <row r="28" spans="1:22" x14ac:dyDescent="0.25">
      <c r="G28" s="89"/>
      <c r="H28" s="89"/>
      <c r="I28" s="89"/>
      <c r="J28" s="89"/>
      <c r="K28" s="89"/>
      <c r="L28" s="89"/>
      <c r="M28" s="89"/>
      <c r="N28" s="89"/>
      <c r="O28" s="89"/>
      <c r="Q28" s="92"/>
      <c r="R28" s="92"/>
      <c r="S28" s="92"/>
      <c r="T28" s="92"/>
      <c r="U28" s="92"/>
      <c r="V28" s="95"/>
    </row>
    <row r="29" spans="1:22" x14ac:dyDescent="0.25">
      <c r="G29" s="89"/>
      <c r="H29" s="89"/>
      <c r="I29" s="89"/>
      <c r="J29" s="89"/>
      <c r="K29" s="89"/>
      <c r="L29" s="89"/>
      <c r="M29" s="89"/>
      <c r="N29" s="89"/>
      <c r="O29" s="89"/>
      <c r="Q29" s="92"/>
      <c r="R29" s="92"/>
      <c r="S29" s="92"/>
      <c r="T29" s="92"/>
      <c r="U29" s="92"/>
      <c r="V29" s="95"/>
    </row>
    <row r="30" spans="1:22" x14ac:dyDescent="0.25">
      <c r="F30" s="86"/>
      <c r="G30" s="90"/>
      <c r="H30" s="90"/>
      <c r="I30" s="90"/>
      <c r="J30" s="90"/>
      <c r="K30" s="90"/>
      <c r="L30" s="90"/>
      <c r="M30" s="90"/>
      <c r="N30" s="90"/>
      <c r="O30" s="90"/>
      <c r="Q30" s="92"/>
      <c r="R30" s="92"/>
      <c r="S30" s="92"/>
      <c r="T30" s="92"/>
      <c r="U30" s="92"/>
      <c r="V30" s="95"/>
    </row>
    <row r="31" spans="1:22" x14ac:dyDescent="0.25">
      <c r="G31" s="89"/>
      <c r="H31" s="89"/>
      <c r="I31" s="89"/>
      <c r="J31" s="89"/>
      <c r="K31" s="89"/>
      <c r="L31" s="89"/>
      <c r="M31" s="89"/>
      <c r="N31" s="89"/>
      <c r="O31" s="89"/>
      <c r="Q31" s="92"/>
      <c r="R31" s="92"/>
      <c r="S31" s="92"/>
      <c r="T31" s="92"/>
      <c r="U31" s="92"/>
      <c r="V31" s="95"/>
    </row>
    <row r="32" spans="1:22" x14ac:dyDescent="0.25"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Q32" s="92"/>
      <c r="R32" s="92"/>
      <c r="S32" s="92"/>
      <c r="T32" s="92"/>
      <c r="U32" s="92"/>
      <c r="V32" s="95"/>
    </row>
    <row r="33" spans="17:22" ht="12.6" thickBot="1" x14ac:dyDescent="0.3">
      <c r="Q33" s="92"/>
      <c r="R33" s="92"/>
      <c r="S33" s="92"/>
      <c r="T33" s="92"/>
      <c r="U33" s="92"/>
      <c r="V33" s="9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0" zoomScaleNormal="110" workbookViewId="0">
      <selection activeCell="C5" sqref="C5"/>
    </sheetView>
  </sheetViews>
  <sheetFormatPr defaultColWidth="9.109375" defaultRowHeight="12" x14ac:dyDescent="0.25"/>
  <cols>
    <col min="1" max="1" width="24.44140625" style="2" customWidth="1"/>
    <col min="2" max="4" width="17.88671875" style="57" customWidth="1"/>
    <col min="5" max="16384" width="9.109375" style="2"/>
  </cols>
  <sheetData>
    <row r="1" spans="1:9" x14ac:dyDescent="0.25">
      <c r="A1" s="43" t="s">
        <v>65</v>
      </c>
      <c r="B1" s="51"/>
      <c r="C1" s="51"/>
      <c r="D1" s="51"/>
    </row>
    <row r="2" spans="1:9" x14ac:dyDescent="0.25">
      <c r="A2" s="52"/>
      <c r="B2" s="35" t="s">
        <v>52</v>
      </c>
      <c r="C2" s="35" t="s">
        <v>53</v>
      </c>
      <c r="D2" s="35" t="s">
        <v>54</v>
      </c>
    </row>
    <row r="3" spans="1:9" x14ac:dyDescent="0.25">
      <c r="A3" s="2" t="s">
        <v>28</v>
      </c>
      <c r="B3" s="53">
        <v>13945.7</v>
      </c>
      <c r="C3" s="53">
        <v>6417.2</v>
      </c>
      <c r="D3" s="53">
        <v>836.9</v>
      </c>
      <c r="E3" s="54"/>
      <c r="G3" s="55"/>
      <c r="H3" s="55"/>
      <c r="I3" s="55"/>
    </row>
    <row r="4" spans="1:9" x14ac:dyDescent="0.25">
      <c r="A4" s="2" t="s">
        <v>7</v>
      </c>
      <c r="B4" s="53">
        <v>219.4</v>
      </c>
      <c r="C4" s="53">
        <v>123.8</v>
      </c>
      <c r="D4" s="53">
        <v>12.1</v>
      </c>
      <c r="G4" s="55"/>
      <c r="H4" s="55"/>
      <c r="I4" s="55"/>
    </row>
    <row r="5" spans="1:9" x14ac:dyDescent="0.25">
      <c r="A5" s="2" t="s">
        <v>29</v>
      </c>
      <c r="B5" s="56">
        <f>B4/B8</f>
        <v>0.94896193771626303</v>
      </c>
      <c r="C5" s="56">
        <f>C4/C8</f>
        <v>1.8395245170876673</v>
      </c>
      <c r="D5" s="56">
        <f>D4/D8</f>
        <v>0.54999999999999993</v>
      </c>
      <c r="G5" s="55"/>
      <c r="H5" s="55"/>
      <c r="I5" s="55"/>
    </row>
    <row r="6" spans="1:9" x14ac:dyDescent="0.25">
      <c r="G6" s="58"/>
      <c r="H6" s="58"/>
      <c r="I6" s="58"/>
    </row>
    <row r="7" spans="1:9" x14ac:dyDescent="0.25">
      <c r="A7" s="2" t="s">
        <v>19</v>
      </c>
      <c r="B7" s="59">
        <v>26.76</v>
      </c>
      <c r="C7" s="59">
        <v>46.83</v>
      </c>
      <c r="D7" s="59">
        <v>22.73</v>
      </c>
      <c r="G7" s="60"/>
      <c r="H7" s="60"/>
      <c r="I7" s="60"/>
    </row>
    <row r="8" spans="1:9" x14ac:dyDescent="0.25">
      <c r="A8" s="2" t="s">
        <v>51</v>
      </c>
      <c r="B8" s="61">
        <v>231.2</v>
      </c>
      <c r="C8" s="61">
        <v>67.3</v>
      </c>
      <c r="D8" s="61">
        <v>22</v>
      </c>
      <c r="G8" s="60"/>
      <c r="H8" s="60"/>
      <c r="I8" s="60"/>
    </row>
    <row r="9" spans="1:9" x14ac:dyDescent="0.25">
      <c r="A9" s="2" t="s">
        <v>32</v>
      </c>
      <c r="B9" s="53">
        <f>B7*B8</f>
        <v>6186.9120000000003</v>
      </c>
      <c r="C9" s="53">
        <f t="shared" ref="C9:D9" si="0">C7*C8</f>
        <v>3151.6589999999997</v>
      </c>
      <c r="D9" s="53">
        <f t="shared" si="0"/>
        <v>500.06</v>
      </c>
      <c r="F9" s="32"/>
      <c r="G9" s="62"/>
      <c r="H9" s="62"/>
      <c r="I9" s="62"/>
    </row>
    <row r="10" spans="1:9" x14ac:dyDescent="0.25">
      <c r="A10" s="2" t="s">
        <v>31</v>
      </c>
      <c r="B10" s="53">
        <v>5887</v>
      </c>
      <c r="C10" s="53">
        <v>355</v>
      </c>
      <c r="D10" s="53">
        <v>289</v>
      </c>
      <c r="F10" s="32"/>
      <c r="G10" s="62"/>
      <c r="H10" s="62"/>
      <c r="I10" s="62"/>
    </row>
    <row r="11" spans="1:9" x14ac:dyDescent="0.25">
      <c r="A11" s="2" t="s">
        <v>17</v>
      </c>
      <c r="B11" s="53">
        <v>10267.1</v>
      </c>
      <c r="C11" s="53">
        <v>3465.9</v>
      </c>
      <c r="D11" s="53">
        <v>862.4</v>
      </c>
      <c r="F11" s="32"/>
      <c r="G11" s="62"/>
      <c r="H11" s="62"/>
      <c r="I11" s="62"/>
    </row>
    <row r="12" spans="1:9" x14ac:dyDescent="0.25">
      <c r="A12" s="36" t="s">
        <v>33</v>
      </c>
      <c r="B12" s="63">
        <v>1.69</v>
      </c>
      <c r="C12" s="63">
        <v>1.25</v>
      </c>
      <c r="D12" s="63">
        <v>1.56</v>
      </c>
      <c r="F12" s="32"/>
      <c r="G12" s="64"/>
      <c r="H12" s="64"/>
      <c r="I12" s="64"/>
    </row>
    <row r="13" spans="1:9" x14ac:dyDescent="0.25">
      <c r="F13" s="32"/>
      <c r="G13" s="32"/>
      <c r="H13" s="32"/>
      <c r="I13" s="32"/>
    </row>
    <row r="14" spans="1:9" x14ac:dyDescent="0.25">
      <c r="B14" s="65"/>
      <c r="C14" s="65"/>
      <c r="D14" s="65"/>
    </row>
    <row r="15" spans="1:9" x14ac:dyDescent="0.25">
      <c r="B15" s="66"/>
      <c r="C15" s="66"/>
      <c r="D15" s="66"/>
    </row>
    <row r="17" spans="1:4" x14ac:dyDescent="0.25">
      <c r="A17" s="32"/>
      <c r="B17" s="67"/>
      <c r="C17" s="67"/>
      <c r="D17" s="67"/>
    </row>
    <row r="18" spans="1:4" x14ac:dyDescent="0.25">
      <c r="A18" s="32"/>
      <c r="B18" s="68"/>
      <c r="C18" s="68"/>
      <c r="D18" s="68"/>
    </row>
    <row r="19" spans="1:4" x14ac:dyDescent="0.25">
      <c r="A19" s="32"/>
      <c r="B19" s="69"/>
      <c r="C19" s="69"/>
      <c r="D19" s="69"/>
    </row>
    <row r="20" spans="1:4" x14ac:dyDescent="0.25">
      <c r="A20" s="32"/>
      <c r="B20" s="69"/>
      <c r="C20" s="69"/>
      <c r="D20" s="69"/>
    </row>
    <row r="21" spans="1:4" x14ac:dyDescent="0.25">
      <c r="A21" s="32"/>
      <c r="B21" s="69"/>
      <c r="C21" s="69"/>
      <c r="D21" s="69"/>
    </row>
    <row r="22" spans="1:4" x14ac:dyDescent="0.25">
      <c r="A22" s="32"/>
      <c r="B22" s="67"/>
      <c r="C22" s="67"/>
      <c r="D22" s="67"/>
    </row>
    <row r="23" spans="1:4" x14ac:dyDescent="0.25">
      <c r="A23" s="32"/>
      <c r="B23" s="70"/>
      <c r="C23" s="70"/>
      <c r="D23" s="70"/>
    </row>
    <row r="24" spans="1:4" x14ac:dyDescent="0.25">
      <c r="A24" s="32"/>
      <c r="B24" s="70"/>
      <c r="C24" s="70"/>
      <c r="D24" s="70"/>
    </row>
    <row r="25" spans="1:4" x14ac:dyDescent="0.25">
      <c r="A25" s="32"/>
      <c r="B25" s="70"/>
      <c r="C25" s="70"/>
      <c r="D25" s="70"/>
    </row>
    <row r="26" spans="1:4" x14ac:dyDescent="0.25">
      <c r="A26" s="32"/>
      <c r="B26" s="70"/>
      <c r="C26" s="70"/>
      <c r="D26" s="7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20" zoomScaleNormal="120" workbookViewId="0">
      <selection activeCell="B7" sqref="B7"/>
    </sheetView>
  </sheetViews>
  <sheetFormatPr defaultColWidth="9.109375" defaultRowHeight="12" x14ac:dyDescent="0.25"/>
  <cols>
    <col min="1" max="1" width="23" style="2" customWidth="1"/>
    <col min="2" max="2" width="31.5546875" style="2" customWidth="1"/>
    <col min="3" max="3" width="19.5546875" style="2" customWidth="1"/>
    <col min="4" max="16384" width="9.109375" style="2"/>
  </cols>
  <sheetData>
    <row r="1" spans="1:6" x14ac:dyDescent="0.25">
      <c r="A1" s="43" t="s">
        <v>64</v>
      </c>
      <c r="B1" s="36"/>
      <c r="F1" s="2" t="s">
        <v>43</v>
      </c>
    </row>
    <row r="2" spans="1:6" x14ac:dyDescent="0.25">
      <c r="A2" s="45" t="s">
        <v>37</v>
      </c>
      <c r="B2" s="46"/>
    </row>
    <row r="3" spans="1:6" x14ac:dyDescent="0.25">
      <c r="A3" s="32" t="s">
        <v>34</v>
      </c>
      <c r="B3" s="41">
        <v>4.0000000000000002E-4</v>
      </c>
    </row>
    <row r="4" spans="1:6" x14ac:dyDescent="0.25">
      <c r="A4" s="2" t="s">
        <v>35</v>
      </c>
      <c r="B4" s="47">
        <v>1E-3</v>
      </c>
    </row>
    <row r="5" spans="1:6" x14ac:dyDescent="0.25">
      <c r="A5" s="2" t="s">
        <v>36</v>
      </c>
      <c r="B5" s="47">
        <v>2.5600000000000001E-2</v>
      </c>
    </row>
    <row r="6" spans="1:6" x14ac:dyDescent="0.25">
      <c r="B6" s="47"/>
    </row>
    <row r="7" spans="1:6" x14ac:dyDescent="0.25">
      <c r="A7" s="48" t="s">
        <v>56</v>
      </c>
      <c r="B7" s="47"/>
    </row>
    <row r="8" spans="1:6" x14ac:dyDescent="0.25">
      <c r="A8" s="2" t="s">
        <v>40</v>
      </c>
      <c r="B8" s="47">
        <v>4.1599999999999998E-2</v>
      </c>
    </row>
    <row r="9" spans="1:6" x14ac:dyDescent="0.25">
      <c r="A9" s="2" t="s">
        <v>41</v>
      </c>
      <c r="B9" s="47">
        <v>4.3400000000000001E-2</v>
      </c>
    </row>
    <row r="10" spans="1:6" x14ac:dyDescent="0.25">
      <c r="A10" s="2" t="s">
        <v>38</v>
      </c>
      <c r="B10" s="47">
        <v>4.5199999999999997E-2</v>
      </c>
    </row>
    <row r="11" spans="1:6" x14ac:dyDescent="0.25">
      <c r="A11" s="2" t="s">
        <v>42</v>
      </c>
      <c r="B11" s="47">
        <v>4.7E-2</v>
      </c>
    </row>
    <row r="12" spans="1:6" x14ac:dyDescent="0.25">
      <c r="B12" s="47"/>
    </row>
    <row r="13" spans="1:6" x14ac:dyDescent="0.25">
      <c r="A13" s="49" t="s">
        <v>39</v>
      </c>
      <c r="B13" s="50">
        <v>5.8999999999999997E-2</v>
      </c>
    </row>
    <row r="15" spans="1:6" x14ac:dyDescent="0.25">
      <c r="B1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Landmark</vt:lpstr>
      <vt:lpstr>Debt Financing</vt:lpstr>
      <vt:lpstr>Mix of Debt &amp; Equity Financing</vt:lpstr>
      <vt:lpstr>FCF with Acqu</vt:lpstr>
      <vt:lpstr>Exhibit 3</vt:lpstr>
      <vt:lpstr>Exhibit 4</vt:lpstr>
      <vt:lpstr>Exhibit 5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