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charts/style6.xml" ContentType="application/vnd.ms-office.chartstyle+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harts/style4.xml" ContentType="application/vnd.ms-office.chartstyle+xml"/>
  <Override PartName="/xl/charts/style5.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435" windowWidth="20730" windowHeight="11760" activeTab="5"/>
  </bookViews>
  <sheets>
    <sheet name="Quantitative Analysis" sheetId="11" r:id="rId1"/>
    <sheet name="DATA" sheetId="1" r:id="rId2"/>
    <sheet name="Excel Summary Stats" sheetId="14" r:id="rId3"/>
    <sheet name="Graphs_Charts" sheetId="15" r:id="rId4"/>
    <sheet name="Histogram" sheetId="19" r:id="rId5"/>
    <sheet name="Sorted Data" sheetId="20" r:id="rId6"/>
  </sheets>
  <definedNames>
    <definedName name="_xlnm._FilterDatabase" localSheetId="1" hidden="1">DATA!$K$388:$L$388</definedName>
    <definedName name="Annual_Hours" localSheetId="5">'Sorted Data'!$D$9</definedName>
    <definedName name="Annual_Hours">DATA!$D$9</definedName>
    <definedName name="Annual_Hrs" comment="2080">2080</definedName>
    <definedName name="Central_Plains" localSheetId="5">#REF!</definedName>
    <definedName name="Central_Plains">#REF!</definedName>
    <definedName name="Midwest" localSheetId="5">#REF!</definedName>
    <definedName name="Midwest">#REF!</definedName>
    <definedName name="Northeast" localSheetId="5">#REF!</definedName>
    <definedName name="Northeast">#REF!</definedName>
    <definedName name="_xlnm.Print_Titles" localSheetId="1">DATA!$10:$10</definedName>
  </definedName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L389" i="1"/>
  <c r="L390"/>
  <c r="L391"/>
  <c r="L392"/>
  <c r="L393"/>
  <c r="L394"/>
  <c r="L395"/>
  <c r="L396"/>
  <c r="L397"/>
  <c r="L398"/>
  <c r="L399"/>
  <c r="L400"/>
  <c r="L401"/>
  <c r="L402"/>
  <c r="L403"/>
  <c r="L404"/>
  <c r="L405"/>
  <c r="L406"/>
  <c r="L407"/>
  <c r="L408"/>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433"/>
  <c r="E434"/>
  <c r="E435"/>
  <c r="G433"/>
  <c r="G434"/>
  <c r="G435"/>
  <c r="H296"/>
  <c r="H433"/>
  <c r="H434"/>
  <c r="H435"/>
  <c r="D433"/>
  <c r="D434"/>
  <c r="D435"/>
  <c r="F382" i="20"/>
  <c r="E382"/>
  <c r="F381"/>
  <c r="E381"/>
  <c r="F380"/>
  <c r="I380"/>
  <c r="E380"/>
  <c r="F379"/>
  <c r="E379"/>
  <c r="F378"/>
  <c r="I378"/>
  <c r="E378"/>
  <c r="F377"/>
  <c r="E377"/>
  <c r="E376"/>
  <c r="E375"/>
  <c r="E374"/>
  <c r="F373"/>
  <c r="I373"/>
  <c r="E373"/>
  <c r="E372"/>
  <c r="E371"/>
  <c r="E370"/>
  <c r="F369"/>
  <c r="I369"/>
  <c r="E369"/>
  <c r="E368"/>
  <c r="E367"/>
  <c r="E366"/>
  <c r="E365"/>
  <c r="E364"/>
  <c r="F363"/>
  <c r="E363"/>
  <c r="E362"/>
  <c r="E361"/>
  <c r="E360"/>
  <c r="F359"/>
  <c r="I359"/>
  <c r="E359"/>
  <c r="E358"/>
  <c r="E357"/>
  <c r="E356"/>
  <c r="E355"/>
  <c r="E354"/>
  <c r="E353"/>
  <c r="E352"/>
  <c r="E351"/>
  <c r="E350"/>
  <c r="E349"/>
  <c r="F348"/>
  <c r="E348"/>
  <c r="F347"/>
  <c r="E347"/>
  <c r="F346"/>
  <c r="I346"/>
  <c r="E346"/>
  <c r="E345"/>
  <c r="F344"/>
  <c r="E344"/>
  <c r="E343"/>
  <c r="F342"/>
  <c r="E342"/>
  <c r="F341"/>
  <c r="E341"/>
  <c r="E340"/>
  <c r="F339"/>
  <c r="E339"/>
  <c r="E338"/>
  <c r="E337"/>
  <c r="F336"/>
  <c r="E336"/>
  <c r="E335"/>
  <c r="E334"/>
  <c r="E333"/>
  <c r="E332"/>
  <c r="F331"/>
  <c r="E331"/>
  <c r="F330"/>
  <c r="E330"/>
  <c r="F329"/>
  <c r="E329"/>
  <c r="E328"/>
  <c r="E327"/>
  <c r="E326"/>
  <c r="E325"/>
  <c r="E324"/>
  <c r="F323"/>
  <c r="E323"/>
  <c r="E322"/>
  <c r="E321"/>
  <c r="E320"/>
  <c r="E319"/>
  <c r="E318"/>
  <c r="E317"/>
  <c r="E316"/>
  <c r="F315"/>
  <c r="E315"/>
  <c r="E314"/>
  <c r="F313"/>
  <c r="E313"/>
  <c r="E312"/>
  <c r="E311"/>
  <c r="E310"/>
  <c r="E309"/>
  <c r="E308"/>
  <c r="F307"/>
  <c r="E307"/>
  <c r="E306"/>
  <c r="F305"/>
  <c r="I305"/>
  <c r="E305"/>
  <c r="E304"/>
  <c r="F303"/>
  <c r="E303"/>
  <c r="E302"/>
  <c r="F301"/>
  <c r="E301"/>
  <c r="F300"/>
  <c r="E300"/>
  <c r="F299"/>
  <c r="E299"/>
  <c r="E298"/>
  <c r="E297"/>
  <c r="H296"/>
  <c r="F296"/>
  <c r="I296"/>
  <c r="E296"/>
  <c r="E295"/>
  <c r="E294"/>
  <c r="E293"/>
  <c r="F292"/>
  <c r="F51"/>
  <c r="E292"/>
  <c r="E291"/>
  <c r="E290"/>
  <c r="E289"/>
  <c r="E288"/>
  <c r="E287"/>
  <c r="E286"/>
  <c r="E285"/>
  <c r="F284"/>
  <c r="E284"/>
  <c r="E283"/>
  <c r="E282"/>
  <c r="F281"/>
  <c r="E281"/>
  <c r="F280"/>
  <c r="F52"/>
  <c r="E280"/>
  <c r="E279"/>
  <c r="F278"/>
  <c r="F55"/>
  <c r="E278"/>
  <c r="F277"/>
  <c r="E277"/>
  <c r="E276"/>
  <c r="E275"/>
  <c r="E274"/>
  <c r="E273"/>
  <c r="E272"/>
  <c r="E271"/>
  <c r="E270"/>
  <c r="E269"/>
  <c r="E268"/>
  <c r="E267"/>
  <c r="F266"/>
  <c r="I266"/>
  <c r="E266"/>
  <c r="E265"/>
  <c r="F264"/>
  <c r="E264"/>
  <c r="E263"/>
  <c r="E262"/>
  <c r="F261"/>
  <c r="E261"/>
  <c r="F260"/>
  <c r="E260"/>
  <c r="E259"/>
  <c r="E258"/>
  <c r="E257"/>
  <c r="F256"/>
  <c r="E256"/>
  <c r="F255"/>
  <c r="E255"/>
  <c r="E254"/>
  <c r="F253"/>
  <c r="F65"/>
  <c r="E253"/>
  <c r="E252"/>
  <c r="F251"/>
  <c r="E251"/>
  <c r="F250"/>
  <c r="E250"/>
  <c r="E249"/>
  <c r="E248"/>
  <c r="E247"/>
  <c r="E246"/>
  <c r="E245"/>
  <c r="F244"/>
  <c r="E244"/>
  <c r="E243"/>
  <c r="E242"/>
  <c r="N241"/>
  <c r="E241"/>
  <c r="F240"/>
  <c r="N243"/>
  <c r="E240"/>
  <c r="F239"/>
  <c r="E239"/>
  <c r="F238"/>
  <c r="F82"/>
  <c r="E238"/>
  <c r="F237"/>
  <c r="N248"/>
  <c r="E237"/>
  <c r="F236"/>
  <c r="E236"/>
  <c r="N235"/>
  <c r="E235"/>
  <c r="N234"/>
  <c r="E234"/>
  <c r="E233"/>
  <c r="N232"/>
  <c r="E232"/>
  <c r="E231"/>
  <c r="E230"/>
  <c r="E229"/>
  <c r="E228"/>
  <c r="E227"/>
  <c r="E226"/>
  <c r="N225"/>
  <c r="E225"/>
  <c r="F224"/>
  <c r="E224"/>
  <c r="E223"/>
  <c r="F222"/>
  <c r="E222"/>
  <c r="N221"/>
  <c r="E221"/>
  <c r="N220"/>
  <c r="E220"/>
  <c r="E219"/>
  <c r="E218"/>
  <c r="E217"/>
  <c r="F216"/>
  <c r="I216"/>
  <c r="E216"/>
  <c r="N215"/>
  <c r="E215"/>
  <c r="E214"/>
  <c r="N213"/>
  <c r="E213"/>
  <c r="N212"/>
  <c r="E212"/>
  <c r="E211"/>
  <c r="E210"/>
  <c r="N209"/>
  <c r="E209"/>
  <c r="E208"/>
  <c r="E207"/>
  <c r="E206"/>
  <c r="E205"/>
  <c r="N204"/>
  <c r="E204"/>
  <c r="E203"/>
  <c r="E202"/>
  <c r="E201"/>
  <c r="N200"/>
  <c r="E200"/>
  <c r="E199"/>
  <c r="N198"/>
  <c r="E198"/>
  <c r="N197"/>
  <c r="E197"/>
  <c r="E196"/>
  <c r="E195"/>
  <c r="E194"/>
  <c r="N193"/>
  <c r="E193"/>
  <c r="F192"/>
  <c r="E192"/>
  <c r="E191"/>
  <c r="N190"/>
  <c r="E190"/>
  <c r="F189"/>
  <c r="E189"/>
  <c r="F188"/>
  <c r="E188"/>
  <c r="N187"/>
  <c r="E187"/>
  <c r="N186"/>
  <c r="E186"/>
  <c r="F185"/>
  <c r="E185"/>
  <c r="N184"/>
  <c r="E184"/>
  <c r="F183"/>
  <c r="E183"/>
  <c r="E182"/>
  <c r="E181"/>
  <c r="E180"/>
  <c r="E179"/>
  <c r="E178"/>
  <c r="E177"/>
  <c r="E176"/>
  <c r="E175"/>
  <c r="E174"/>
  <c r="E173"/>
  <c r="E172"/>
  <c r="E171"/>
  <c r="E170"/>
  <c r="E169"/>
  <c r="E168"/>
  <c r="F167"/>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F113"/>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F74"/>
  <c r="E74"/>
  <c r="E73"/>
  <c r="E72"/>
  <c r="F71"/>
  <c r="F195"/>
  <c r="E71"/>
  <c r="E70"/>
  <c r="E69"/>
  <c r="E68"/>
  <c r="E67"/>
  <c r="F66"/>
  <c r="E66"/>
  <c r="E65"/>
  <c r="E64"/>
  <c r="F63"/>
  <c r="F351"/>
  <c r="I351"/>
  <c r="E63"/>
  <c r="F62"/>
  <c r="I62"/>
  <c r="E62"/>
  <c r="E61"/>
  <c r="E60"/>
  <c r="E59"/>
  <c r="E58"/>
  <c r="E57"/>
  <c r="E56"/>
  <c r="E55"/>
  <c r="E54"/>
  <c r="E53"/>
  <c r="E52"/>
  <c r="E51"/>
  <c r="F50"/>
  <c r="E50"/>
  <c r="F49"/>
  <c r="E49"/>
  <c r="F48"/>
  <c r="E48"/>
  <c r="E47"/>
  <c r="E46"/>
  <c r="E45"/>
  <c r="F44"/>
  <c r="E44"/>
  <c r="F43"/>
  <c r="E43"/>
  <c r="E42"/>
  <c r="F41"/>
  <c r="E41"/>
  <c r="F40"/>
  <c r="E40"/>
  <c r="E39"/>
  <c r="F38"/>
  <c r="E38"/>
  <c r="E37"/>
  <c r="F36"/>
  <c r="E36"/>
  <c r="F35"/>
  <c r="E35"/>
  <c r="E34"/>
  <c r="E33"/>
  <c r="F32"/>
  <c r="I32"/>
  <c r="E32"/>
  <c r="F31"/>
  <c r="E31"/>
  <c r="E30"/>
  <c r="F29"/>
  <c r="E29"/>
  <c r="F28"/>
  <c r="I28"/>
  <c r="E28"/>
  <c r="E27"/>
  <c r="E26"/>
  <c r="F25"/>
  <c r="E25"/>
  <c r="F24"/>
  <c r="E24"/>
  <c r="E23"/>
  <c r="F22"/>
  <c r="E22"/>
  <c r="F21"/>
  <c r="E21"/>
  <c r="F20"/>
  <c r="E20"/>
  <c r="F19"/>
  <c r="E19"/>
  <c r="F18"/>
  <c r="E18"/>
  <c r="N17"/>
  <c r="E17"/>
  <c r="N16"/>
  <c r="E16"/>
  <c r="N15"/>
  <c r="E15"/>
  <c r="N14"/>
  <c r="F14"/>
  <c r="N180"/>
  <c r="E14"/>
  <c r="N13"/>
  <c r="E13"/>
  <c r="N12"/>
  <c r="E12"/>
  <c r="N11"/>
  <c r="F11"/>
  <c r="E11"/>
  <c r="H397" i="1"/>
  <c r="H398"/>
  <c r="G437"/>
  <c r="D437"/>
  <c r="G436"/>
  <c r="D436"/>
  <c r="G432"/>
  <c r="D432"/>
  <c r="G431"/>
  <c r="D431"/>
  <c r="G430"/>
  <c r="D430"/>
  <c r="G429"/>
  <c r="D429"/>
  <c r="G428"/>
  <c r="D428"/>
  <c r="G427"/>
  <c r="D427"/>
  <c r="G426"/>
  <c r="E437"/>
  <c r="D426"/>
  <c r="F434"/>
  <c r="N165" i="20"/>
  <c r="I31"/>
  <c r="F372"/>
  <c r="N18"/>
  <c r="F371"/>
  <c r="F367"/>
  <c r="F366"/>
  <c r="N163"/>
  <c r="N177"/>
  <c r="F194"/>
  <c r="I194"/>
  <c r="F202"/>
  <c r="F218"/>
  <c r="N246"/>
  <c r="N249"/>
  <c r="F54"/>
  <c r="N161"/>
  <c r="F58"/>
  <c r="N160"/>
  <c r="F294"/>
  <c r="F111"/>
  <c r="F241"/>
  <c r="F60"/>
  <c r="F101"/>
  <c r="F92"/>
  <c r="F338"/>
  <c r="N19"/>
  <c r="F248"/>
  <c r="F102"/>
  <c r="F138"/>
  <c r="F108"/>
  <c r="N27"/>
  <c r="F110"/>
  <c r="F213"/>
  <c r="N23"/>
  <c r="N26"/>
  <c r="F97"/>
  <c r="F221"/>
  <c r="F279"/>
  <c r="F85"/>
  <c r="F124"/>
  <c r="F269"/>
  <c r="F87"/>
  <c r="F53"/>
  <c r="F115"/>
  <c r="F146"/>
  <c r="F154"/>
  <c r="F109"/>
  <c r="F319"/>
  <c r="F337"/>
  <c r="F243"/>
  <c r="F268"/>
  <c r="F358"/>
  <c r="F196"/>
  <c r="F345"/>
  <c r="F208"/>
  <c r="F316"/>
  <c r="F226"/>
  <c r="I226"/>
  <c r="F121"/>
  <c r="F267"/>
  <c r="F91"/>
  <c r="F98"/>
  <c r="F265"/>
  <c r="F88"/>
  <c r="F340"/>
  <c r="F258"/>
  <c r="I258"/>
  <c r="F232"/>
  <c r="I232"/>
  <c r="F365"/>
  <c r="F349"/>
  <c r="F206"/>
  <c r="F177"/>
  <c r="N262"/>
  <c r="F94"/>
  <c r="I94"/>
  <c r="F314"/>
  <c r="I314"/>
  <c r="F310"/>
  <c r="F233"/>
  <c r="F297"/>
  <c r="F286"/>
  <c r="F77"/>
  <c r="F276"/>
  <c r="F252"/>
  <c r="F104"/>
  <c r="F173"/>
  <c r="F70"/>
  <c r="F249"/>
  <c r="F59"/>
  <c r="F205"/>
  <c r="F47"/>
  <c r="F45"/>
  <c r="F364"/>
  <c r="F190"/>
  <c r="F215"/>
  <c r="F282"/>
  <c r="F212"/>
  <c r="I212"/>
  <c r="F209"/>
  <c r="F12"/>
  <c r="F15"/>
  <c r="N377"/>
  <c r="F56"/>
  <c r="I56"/>
  <c r="F68"/>
  <c r="F78"/>
  <c r="F96"/>
  <c r="F100"/>
  <c r="F193"/>
  <c r="F293"/>
  <c r="F259"/>
  <c r="I259"/>
  <c r="F350"/>
  <c r="F375"/>
  <c r="F16"/>
  <c r="F179"/>
  <c r="N382"/>
  <c r="F155"/>
  <c r="I24"/>
  <c r="F368"/>
  <c r="F186"/>
  <c r="F187"/>
  <c r="I187"/>
  <c r="I44"/>
  <c r="F184"/>
  <c r="F360"/>
  <c r="F23"/>
  <c r="F200"/>
  <c r="F353"/>
  <c r="F352"/>
  <c r="F203"/>
  <c r="F333"/>
  <c r="F214"/>
  <c r="F334"/>
  <c r="F42"/>
  <c r="F327"/>
  <c r="F217"/>
  <c r="F325"/>
  <c r="F326"/>
  <c r="F219"/>
  <c r="F119"/>
  <c r="F254"/>
  <c r="N183"/>
  <c r="F328"/>
  <c r="F324"/>
  <c r="F144"/>
  <c r="I52"/>
  <c r="F355"/>
  <c r="F199"/>
  <c r="F356"/>
  <c r="N366"/>
  <c r="I66"/>
  <c r="F134"/>
  <c r="F306"/>
  <c r="F107"/>
  <c r="N322"/>
  <c r="N372"/>
  <c r="F180"/>
  <c r="F285"/>
  <c r="I330"/>
  <c r="N247"/>
  <c r="I340"/>
  <c r="F220"/>
  <c r="N214"/>
  <c r="F13"/>
  <c r="F204"/>
  <c r="F67"/>
  <c r="F81"/>
  <c r="F343"/>
  <c r="F210"/>
  <c r="F89"/>
  <c r="I89"/>
  <c r="F93"/>
  <c r="F311"/>
  <c r="F231"/>
  <c r="F309"/>
  <c r="N318"/>
  <c r="F257"/>
  <c r="F262"/>
  <c r="F263"/>
  <c r="N162"/>
  <c r="F287"/>
  <c r="F291"/>
  <c r="F295"/>
  <c r="F298"/>
  <c r="F308"/>
  <c r="F312"/>
  <c r="F320"/>
  <c r="F223"/>
  <c r="I223"/>
  <c r="N229"/>
  <c r="E426" i="1"/>
  <c r="F427"/>
  <c r="E428"/>
  <c r="F429"/>
  <c r="E430"/>
  <c r="F431"/>
  <c r="I11" i="20"/>
  <c r="F437" i="1"/>
  <c r="F433"/>
  <c r="F435"/>
  <c r="E436"/>
  <c r="E432"/>
  <c r="F426"/>
  <c r="E427"/>
  <c r="F428"/>
  <c r="E429"/>
  <c r="F430"/>
  <c r="E431"/>
  <c r="F432"/>
  <c r="F436"/>
  <c r="N231" i="20"/>
  <c r="F288"/>
  <c r="F283"/>
  <c r="N337"/>
  <c r="F133"/>
  <c r="N336"/>
  <c r="I108"/>
  <c r="F75"/>
  <c r="F152"/>
  <c r="F225"/>
  <c r="I225"/>
  <c r="F247"/>
  <c r="I214"/>
  <c r="N85"/>
  <c r="I353"/>
  <c r="F201"/>
  <c r="F30"/>
  <c r="N104"/>
  <c r="I100"/>
  <c r="F140"/>
  <c r="I140"/>
  <c r="F302"/>
  <c r="F64"/>
  <c r="F17"/>
  <c r="F370"/>
  <c r="F191"/>
  <c r="N101"/>
  <c r="I12"/>
  <c r="F230"/>
  <c r="I47"/>
  <c r="F362"/>
  <c r="N25"/>
  <c r="F361"/>
  <c r="N256"/>
  <c r="F211"/>
  <c r="I173"/>
  <c r="N98"/>
  <c r="N96"/>
  <c r="F80"/>
  <c r="F147"/>
  <c r="F103"/>
  <c r="I103"/>
  <c r="I60"/>
  <c r="F354"/>
  <c r="F170"/>
  <c r="F169"/>
  <c r="N100"/>
  <c r="F229"/>
  <c r="F61"/>
  <c r="F271"/>
  <c r="F120"/>
  <c r="F27"/>
  <c r="F26"/>
  <c r="F34"/>
  <c r="F33"/>
  <c r="I33"/>
  <c r="F39"/>
  <c r="F335"/>
  <c r="F182"/>
  <c r="F95"/>
  <c r="F128"/>
  <c r="F181"/>
  <c r="F228"/>
  <c r="F76"/>
  <c r="F227"/>
  <c r="N68"/>
  <c r="N66"/>
  <c r="N317"/>
  <c r="F332"/>
  <c r="F178"/>
  <c r="I208"/>
  <c r="N88"/>
  <c r="F357"/>
  <c r="F207"/>
  <c r="F176"/>
  <c r="F99"/>
  <c r="I99"/>
  <c r="F175"/>
  <c r="I241"/>
  <c r="F270"/>
  <c r="F242"/>
  <c r="F69"/>
  <c r="N269"/>
  <c r="N164"/>
  <c r="N20"/>
  <c r="N159"/>
  <c r="N276"/>
  <c r="N272"/>
  <c r="N338"/>
  <c r="F143"/>
  <c r="F272"/>
  <c r="N93"/>
  <c r="N167"/>
  <c r="F374"/>
  <c r="N40"/>
  <c r="N223"/>
  <c r="F234"/>
  <c r="N250"/>
  <c r="N155"/>
  <c r="N154"/>
  <c r="N290"/>
  <c r="N128"/>
  <c r="N103"/>
  <c r="N102"/>
  <c r="N185"/>
  <c r="N196"/>
  <c r="N119"/>
  <c r="N116"/>
  <c r="N115"/>
  <c r="N195"/>
  <c r="N80"/>
  <c r="N79"/>
  <c r="N78"/>
  <c r="N77"/>
  <c r="N75"/>
  <c r="N73"/>
  <c r="N72"/>
  <c r="N61"/>
  <c r="N219"/>
  <c r="F289"/>
  <c r="I310"/>
  <c r="N108"/>
  <c r="N107"/>
  <c r="N105"/>
  <c r="N371"/>
  <c r="N168"/>
  <c r="I337"/>
  <c r="N69"/>
  <c r="N293"/>
  <c r="N134"/>
  <c r="N132"/>
  <c r="N172"/>
  <c r="N217"/>
  <c r="N321"/>
  <c r="N367"/>
  <c r="N57"/>
  <c r="N56"/>
  <c r="N373"/>
  <c r="I324"/>
  <c r="N91"/>
  <c r="N90"/>
  <c r="N89"/>
  <c r="N87"/>
  <c r="I184"/>
  <c r="N252"/>
  <c r="F376"/>
  <c r="N30"/>
  <c r="N169"/>
  <c r="N171"/>
  <c r="N64"/>
  <c r="N46"/>
  <c r="N170"/>
  <c r="I53"/>
  <c r="N179"/>
  <c r="N199"/>
  <c r="N83"/>
  <c r="N174"/>
  <c r="F197"/>
  <c r="N210"/>
  <c r="N84"/>
  <c r="N99"/>
  <c r="F131"/>
  <c r="N216"/>
  <c r="N95"/>
  <c r="F129"/>
  <c r="N106"/>
  <c r="N222"/>
  <c r="N120"/>
  <c r="N251"/>
  <c r="F198"/>
  <c r="F156"/>
  <c r="N226"/>
  <c r="N76"/>
  <c r="N253"/>
  <c r="N86"/>
  <c r="N191"/>
  <c r="N133"/>
  <c r="N240"/>
  <c r="F165"/>
  <c r="N261"/>
  <c r="F163"/>
  <c r="F164"/>
  <c r="N351"/>
  <c r="I77"/>
  <c r="N357"/>
  <c r="N362"/>
  <c r="I306"/>
  <c r="N224"/>
  <c r="N127"/>
  <c r="N48"/>
  <c r="N49"/>
  <c r="N52"/>
  <c r="I327"/>
  <c r="N205"/>
  <c r="N194"/>
  <c r="N192"/>
  <c r="N41"/>
  <c r="N22"/>
  <c r="N173"/>
  <c r="N21"/>
  <c r="N211"/>
  <c r="N58"/>
  <c r="N227"/>
  <c r="N228"/>
  <c r="N218"/>
  <c r="N65"/>
  <c r="F161"/>
  <c r="F159"/>
  <c r="F160"/>
  <c r="N364"/>
  <c r="I204"/>
  <c r="N118"/>
  <c r="N117"/>
  <c r="N114"/>
  <c r="N112"/>
  <c r="N109"/>
  <c r="N354"/>
  <c r="F151"/>
  <c r="F149"/>
  <c r="F150"/>
  <c r="I355"/>
  <c r="N189"/>
  <c r="N188"/>
  <c r="N123"/>
  <c r="N230"/>
  <c r="N335"/>
  <c r="I325"/>
  <c r="N54"/>
  <c r="N55"/>
  <c r="N340"/>
  <c r="N361"/>
  <c r="N332"/>
  <c r="F137"/>
  <c r="F135"/>
  <c r="F136"/>
  <c r="N181"/>
  <c r="N182"/>
  <c r="N178"/>
  <c r="N175"/>
  <c r="N24"/>
  <c r="N176"/>
  <c r="F318"/>
  <c r="F317"/>
  <c r="N260"/>
  <c r="F139"/>
  <c r="N239"/>
  <c r="F290"/>
  <c r="N53"/>
  <c r="F57"/>
  <c r="I357"/>
  <c r="N28"/>
  <c r="N29"/>
  <c r="I332"/>
  <c r="N38"/>
  <c r="F127"/>
  <c r="F126"/>
  <c r="F125"/>
  <c r="N381"/>
  <c r="N379"/>
  <c r="N380"/>
  <c r="N378"/>
  <c r="N156"/>
  <c r="N289"/>
  <c r="N285"/>
  <c r="F79"/>
  <c r="N92"/>
  <c r="N81"/>
  <c r="N94"/>
  <c r="N296"/>
  <c r="N273"/>
  <c r="F145"/>
  <c r="N266"/>
  <c r="F304"/>
  <c r="F141"/>
  <c r="F142"/>
  <c r="F114"/>
  <c r="I114"/>
  <c r="F148"/>
  <c r="I131"/>
  <c r="F322"/>
  <c r="F321"/>
  <c r="I321"/>
  <c r="F162"/>
  <c r="N369"/>
  <c r="N255"/>
  <c r="F73"/>
  <c r="F245"/>
  <c r="N74"/>
  <c r="N208"/>
  <c r="F275"/>
  <c r="F46"/>
  <c r="F274"/>
  <c r="F273"/>
  <c r="N62"/>
  <c r="N355"/>
  <c r="N59"/>
  <c r="N287"/>
  <c r="N283"/>
  <c r="F86"/>
  <c r="N265"/>
  <c r="N271"/>
  <c r="N63"/>
  <c r="N67"/>
  <c r="N267"/>
  <c r="N254"/>
  <c r="N258"/>
  <c r="N257"/>
  <c r="N259"/>
  <c r="F168"/>
  <c r="N376"/>
  <c r="N375"/>
  <c r="N374"/>
  <c r="F174"/>
  <c r="F90"/>
  <c r="I90"/>
  <c r="N291"/>
  <c r="N31"/>
  <c r="N32"/>
  <c r="N97"/>
  <c r="F72"/>
  <c r="N286"/>
  <c r="F84"/>
  <c r="N146"/>
  <c r="F83"/>
  <c r="N263"/>
  <c r="N358"/>
  <c r="F158"/>
  <c r="F157"/>
  <c r="F172"/>
  <c r="I172"/>
  <c r="F171"/>
  <c r="N82"/>
  <c r="I247"/>
  <c r="N71"/>
  <c r="N70"/>
  <c r="N51"/>
  <c r="N315"/>
  <c r="N288"/>
  <c r="N36"/>
  <c r="N207"/>
  <c r="N268"/>
  <c r="N238"/>
  <c r="N202"/>
  <c r="N242"/>
  <c r="N206"/>
  <c r="N201"/>
  <c r="N203"/>
  <c r="N300"/>
  <c r="N304"/>
  <c r="N42"/>
  <c r="N142"/>
  <c r="N141"/>
  <c r="N139"/>
  <c r="N245"/>
  <c r="N34"/>
  <c r="N148"/>
  <c r="N244"/>
  <c r="I159"/>
  <c r="N270"/>
  <c r="N275"/>
  <c r="N35"/>
  <c r="N264"/>
  <c r="N140"/>
  <c r="N236"/>
  <c r="N237"/>
  <c r="N279"/>
  <c r="N282"/>
  <c r="N274"/>
  <c r="N126"/>
  <c r="N233"/>
  <c r="N299"/>
  <c r="N43"/>
  <c r="N145"/>
  <c r="N39"/>
  <c r="N33"/>
  <c r="N37"/>
  <c r="N122"/>
  <c r="N125"/>
  <c r="N130"/>
  <c r="N292"/>
  <c r="N313"/>
  <c r="I129"/>
  <c r="N166"/>
  <c r="N158"/>
  <c r="N157"/>
  <c r="N138"/>
  <c r="N303"/>
  <c r="N301"/>
  <c r="N323"/>
  <c r="I149"/>
  <c r="N152"/>
  <c r="N147"/>
  <c r="N307"/>
  <c r="N305"/>
  <c r="F132"/>
  <c r="I83"/>
  <c r="I46"/>
  <c r="N365"/>
  <c r="F106"/>
  <c r="N359"/>
  <c r="N295"/>
  <c r="N294"/>
  <c r="N297"/>
  <c r="N298"/>
  <c r="F37"/>
  <c r="N45"/>
  <c r="N44"/>
  <c r="N47"/>
  <c r="N302"/>
  <c r="F112"/>
  <c r="N281"/>
  <c r="F246"/>
  <c r="F105"/>
  <c r="N150"/>
  <c r="N153"/>
  <c r="F235"/>
  <c r="N306"/>
  <c r="F118"/>
  <c r="F117"/>
  <c r="N312"/>
  <c r="N310"/>
  <c r="N308"/>
  <c r="N311"/>
  <c r="N309"/>
  <c r="I139"/>
  <c r="N280"/>
  <c r="N284"/>
  <c r="N277"/>
  <c r="N50"/>
  <c r="N353"/>
  <c r="N352"/>
  <c r="N144"/>
  <c r="N363"/>
  <c r="N60"/>
  <c r="N356"/>
  <c r="N350"/>
  <c r="N349"/>
  <c r="N278"/>
  <c r="N343"/>
  <c r="N345"/>
  <c r="N360"/>
  <c r="N149"/>
  <c r="N151"/>
  <c r="F153"/>
  <c r="I153"/>
  <c r="N334"/>
  <c r="N333"/>
  <c r="N137"/>
  <c r="N136"/>
  <c r="N135"/>
  <c r="N314"/>
  <c r="F123"/>
  <c r="F122"/>
  <c r="N129"/>
  <c r="N316"/>
  <c r="N143"/>
  <c r="N368"/>
  <c r="F166"/>
  <c r="N370"/>
  <c r="N111"/>
  <c r="N110"/>
  <c r="N331"/>
  <c r="N329"/>
  <c r="N113"/>
  <c r="N330"/>
  <c r="F116"/>
  <c r="N346"/>
  <c r="N347"/>
  <c r="N131"/>
  <c r="C412" i="1"/>
  <c r="H406"/>
  <c r="H405"/>
  <c r="H404"/>
  <c r="H403"/>
  <c r="H412"/>
  <c r="H411"/>
  <c r="H392"/>
  <c r="H391"/>
  <c r="H390"/>
  <c r="H389"/>
  <c r="C415"/>
  <c r="C414"/>
  <c r="C413"/>
  <c r="C411"/>
  <c r="C410"/>
  <c r="C409"/>
  <c r="C408"/>
  <c r="C407"/>
  <c r="C406"/>
  <c r="C405"/>
  <c r="C404"/>
  <c r="C403"/>
  <c r="C402"/>
  <c r="C401"/>
  <c r="C400"/>
  <c r="C399"/>
  <c r="C398"/>
  <c r="C397"/>
  <c r="C396"/>
  <c r="C395"/>
  <c r="C394"/>
  <c r="C393"/>
  <c r="C391"/>
  <c r="C389"/>
  <c r="C390"/>
  <c r="C392"/>
  <c r="N382"/>
  <c r="N381"/>
  <c r="N380"/>
  <c r="N379"/>
  <c r="N378"/>
  <c r="N377"/>
  <c r="N376"/>
  <c r="N375"/>
  <c r="N374"/>
  <c r="N373"/>
  <c r="N371"/>
  <c r="N372"/>
  <c r="N370"/>
  <c r="N369"/>
  <c r="N368"/>
  <c r="N367"/>
  <c r="N366"/>
  <c r="N365"/>
  <c r="N362"/>
  <c r="N363"/>
  <c r="N364"/>
  <c r="N361"/>
  <c r="N360"/>
  <c r="N359"/>
  <c r="N358"/>
  <c r="N357"/>
  <c r="N356"/>
  <c r="N355"/>
  <c r="N354"/>
  <c r="N353"/>
  <c r="N352"/>
  <c r="N351"/>
  <c r="N350"/>
  <c r="N349"/>
  <c r="N348"/>
  <c r="N347"/>
  <c r="N346"/>
  <c r="N345"/>
  <c r="N344"/>
  <c r="N343"/>
  <c r="N342"/>
  <c r="N341"/>
  <c r="N340"/>
  <c r="N339"/>
  <c r="N338"/>
  <c r="N337"/>
  <c r="N336"/>
  <c r="N335"/>
  <c r="N334"/>
  <c r="N333"/>
  <c r="N331"/>
  <c r="N332"/>
  <c r="N330"/>
  <c r="N329"/>
  <c r="N328"/>
  <c r="N327"/>
  <c r="N326"/>
  <c r="N325"/>
  <c r="N324"/>
  <c r="N323"/>
  <c r="N322"/>
  <c r="N321"/>
  <c r="N320"/>
  <c r="N319"/>
  <c r="N318"/>
  <c r="N317"/>
  <c r="N316"/>
  <c r="N315"/>
  <c r="N314"/>
  <c r="N313"/>
  <c r="N312"/>
  <c r="N311"/>
  <c r="N310"/>
  <c r="N309"/>
  <c r="N308"/>
  <c r="N307"/>
  <c r="N306"/>
  <c r="N305"/>
  <c r="N303"/>
  <c r="N304"/>
  <c r="N302"/>
  <c r="N301"/>
  <c r="N299"/>
  <c r="N300"/>
  <c r="N298"/>
  <c r="N297"/>
  <c r="N296"/>
  <c r="N295"/>
  <c r="N294"/>
  <c r="N292"/>
  <c r="N293"/>
  <c r="N291"/>
  <c r="N290"/>
  <c r="N289"/>
  <c r="N287"/>
  <c r="N288"/>
  <c r="N286"/>
  <c r="N285"/>
  <c r="N284"/>
  <c r="N283"/>
  <c r="N281"/>
  <c r="N282"/>
  <c r="N280"/>
  <c r="N277"/>
  <c r="N278"/>
  <c r="N279"/>
  <c r="N276"/>
  <c r="N273"/>
  <c r="N274"/>
  <c r="N275"/>
  <c r="N272"/>
  <c r="N271"/>
  <c r="N270"/>
  <c r="N269"/>
  <c r="N267"/>
  <c r="N266"/>
  <c r="N268"/>
  <c r="N265"/>
  <c r="N264"/>
  <c r="N263"/>
  <c r="N260"/>
  <c r="N261"/>
  <c r="N262"/>
  <c r="N259"/>
  <c r="N258"/>
  <c r="N257"/>
  <c r="N255"/>
  <c r="N256"/>
  <c r="N254"/>
  <c r="N252"/>
  <c r="N253"/>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2"/>
  <c r="N13"/>
  <c r="N14"/>
  <c r="N11"/>
  <c r="I378"/>
  <c r="I373"/>
  <c r="I369"/>
  <c r="I359"/>
  <c r="I357"/>
  <c r="I355"/>
  <c r="I353"/>
  <c r="I351"/>
  <c r="I346"/>
  <c r="I340"/>
  <c r="I337"/>
  <c r="I332"/>
  <c r="I330"/>
  <c r="I327"/>
  <c r="I325"/>
  <c r="I324"/>
  <c r="I321"/>
  <c r="I314"/>
  <c r="I310"/>
  <c r="I306"/>
  <c r="I305"/>
  <c r="I296"/>
  <c r="I266"/>
  <c r="I259"/>
  <c r="I258"/>
  <c r="I247"/>
  <c r="I241"/>
  <c r="I232"/>
  <c r="I226"/>
  <c r="I225"/>
  <c r="I223"/>
  <c r="I216"/>
  <c r="I214"/>
  <c r="I212"/>
  <c r="I208"/>
  <c r="I204"/>
  <c r="I194"/>
  <c r="I187"/>
  <c r="I184"/>
  <c r="I173"/>
  <c r="I172"/>
  <c r="I159"/>
  <c r="I153"/>
  <c r="I149"/>
  <c r="I140"/>
  <c r="I139"/>
  <c r="I131"/>
  <c r="I129"/>
  <c r="I114"/>
  <c r="I108"/>
  <c r="I103"/>
  <c r="I100"/>
  <c r="I99"/>
  <c r="I94"/>
  <c r="I90"/>
  <c r="I89"/>
  <c r="I83"/>
  <c r="I77"/>
  <c r="I66"/>
  <c r="I62"/>
  <c r="I60"/>
  <c r="I56"/>
  <c r="I53"/>
  <c r="I52"/>
  <c r="I47"/>
  <c r="I46"/>
  <c r="I44"/>
  <c r="I33"/>
  <c r="I32"/>
  <c r="I31"/>
  <c r="I28"/>
  <c r="I24"/>
  <c r="I380"/>
  <c r="I12"/>
  <c r="I11"/>
  <c r="N320" i="20"/>
  <c r="N319"/>
  <c r="F130"/>
  <c r="N327"/>
  <c r="N325"/>
  <c r="N328"/>
  <c r="N326"/>
  <c r="N324"/>
  <c r="H419" i="1"/>
  <c r="H399"/>
  <c r="I398"/>
  <c r="H418"/>
  <c r="H420"/>
  <c r="H407"/>
  <c r="I404"/>
  <c r="C416"/>
  <c r="H393"/>
  <c r="I389"/>
  <c r="H413"/>
  <c r="I411"/>
  <c r="N121" i="20"/>
  <c r="N124"/>
  <c r="N341"/>
  <c r="N344"/>
  <c r="N339"/>
  <c r="N342"/>
  <c r="N348"/>
  <c r="I397" i="1"/>
  <c r="I403"/>
  <c r="I406"/>
  <c r="I412"/>
  <c r="H421"/>
  <c r="I419"/>
  <c r="I405"/>
  <c r="I390"/>
  <c r="I391"/>
  <c r="I392"/>
  <c r="F425"/>
  <c r="E425"/>
  <c r="D425"/>
  <c r="H388" i="20"/>
  <c r="H387"/>
  <c r="H389"/>
  <c r="I418" i="1"/>
  <c r="I420"/>
  <c r="H390" i="20"/>
  <c r="I387"/>
  <c r="I388"/>
  <c r="H437" i="1"/>
  <c r="H436"/>
  <c r="H432"/>
  <c r="H430"/>
  <c r="H428"/>
  <c r="H426"/>
  <c r="H431"/>
  <c r="H429"/>
  <c r="H427"/>
  <c r="I389" i="20"/>
</calcChain>
</file>

<file path=xl/sharedStrings.xml><?xml version="1.0" encoding="utf-8"?>
<sst xmlns="http://schemas.openxmlformats.org/spreadsheetml/2006/main" count="1754" uniqueCount="128">
  <si>
    <t>Emp #</t>
  </si>
  <si>
    <t>Salary</t>
  </si>
  <si>
    <t>Hrly Rate</t>
  </si>
  <si>
    <t>Yrs of Svc</t>
  </si>
  <si>
    <t>Race</t>
  </si>
  <si>
    <t>Gender</t>
  </si>
  <si>
    <t>Age</t>
  </si>
  <si>
    <t>Ed</t>
  </si>
  <si>
    <t>Status</t>
  </si>
  <si>
    <t>Single</t>
  </si>
  <si>
    <t>Hire Date</t>
  </si>
  <si>
    <t>Role</t>
  </si>
  <si>
    <t>Machine</t>
  </si>
  <si>
    <t>Gen Shop</t>
  </si>
  <si>
    <t>Admin</t>
  </si>
  <si>
    <t>Design</t>
  </si>
  <si>
    <t>Sales</t>
  </si>
  <si>
    <t>Purch</t>
  </si>
  <si>
    <t>Sr Mach</t>
  </si>
  <si>
    <t>Flr Supr</t>
  </si>
  <si>
    <t>Shipping</t>
  </si>
  <si>
    <t>CEO</t>
  </si>
  <si>
    <t>CFO</t>
  </si>
  <si>
    <t>COO</t>
  </si>
  <si>
    <t>Controller</t>
  </si>
  <si>
    <t>Sales Mgr</t>
  </si>
  <si>
    <t>Mrktg</t>
  </si>
  <si>
    <t>Acctg/Fin</t>
  </si>
  <si>
    <t>Shp Mgr</t>
  </si>
  <si>
    <t>Invent</t>
  </si>
  <si>
    <t>Quality</t>
  </si>
  <si>
    <t>Advertg</t>
  </si>
  <si>
    <t>Sr Flr Mgr</t>
  </si>
  <si>
    <t>Sr Sales Mgr</t>
  </si>
  <si>
    <t>IT Staff</t>
  </si>
  <si>
    <t>IT Mgr</t>
  </si>
  <si>
    <t>Asian</t>
  </si>
  <si>
    <t>Hispanic</t>
  </si>
  <si>
    <t>Caucasian</t>
  </si>
  <si>
    <t>Male</t>
  </si>
  <si>
    <t>Female</t>
  </si>
  <si>
    <t>Married</t>
  </si>
  <si>
    <t>HS</t>
  </si>
  <si>
    <t>AA</t>
  </si>
  <si>
    <t>BA/BS</t>
  </si>
  <si>
    <t>Masters</t>
  </si>
  <si>
    <t>Eng Mgr</t>
  </si>
  <si>
    <t>Region</t>
  </si>
  <si>
    <t>NE</t>
  </si>
  <si>
    <t>State</t>
  </si>
  <si>
    <t>Region Key</t>
  </si>
  <si>
    <t>PA</t>
  </si>
  <si>
    <t>IL</t>
  </si>
  <si>
    <t>Northeast</t>
  </si>
  <si>
    <t>Midwest</t>
  </si>
  <si>
    <t>Workforce Profile Analysis</t>
  </si>
  <si>
    <t>Marital Status</t>
  </si>
  <si>
    <t>Education Level</t>
  </si>
  <si>
    <t>Format for:</t>
  </si>
  <si>
    <t>Number</t>
  </si>
  <si>
    <t>Text</t>
  </si>
  <si>
    <t>Currency</t>
  </si>
  <si>
    <t>Date</t>
  </si>
  <si>
    <t>mm/dd/yy</t>
  </si>
  <si>
    <t>Engineering</t>
  </si>
  <si>
    <t>Vested</t>
  </si>
  <si>
    <t>Year Ending</t>
  </si>
  <si>
    <t>Vested Yr</t>
  </si>
  <si>
    <t>Mean</t>
  </si>
  <si>
    <t>Median</t>
  </si>
  <si>
    <t>Mode</t>
  </si>
  <si>
    <t>Key  Emp</t>
  </si>
  <si>
    <t>Roles</t>
  </si>
  <si>
    <t>Descriptive Statistics</t>
  </si>
  <si>
    <t>African-Am</t>
  </si>
  <si>
    <t>C-Plains</t>
  </si>
  <si>
    <t>#</t>
  </si>
  <si>
    <t>%</t>
  </si>
  <si>
    <t>Range</t>
  </si>
  <si>
    <t>Variance</t>
  </si>
  <si>
    <t>Max -</t>
  </si>
  <si>
    <t>Min =</t>
  </si>
  <si>
    <t>Kurtosis</t>
  </si>
  <si>
    <t>Skewness</t>
  </si>
  <si>
    <t>Sum</t>
  </si>
  <si>
    <t>Count</t>
  </si>
  <si>
    <t>Std Deviation</t>
  </si>
  <si>
    <t>Sales Summary (Provided)</t>
  </si>
  <si>
    <t>Yr</t>
  </si>
  <si>
    <t>Bin Range/Upper Limit</t>
  </si>
  <si>
    <t>Labels</t>
  </si>
  <si>
    <t>Graph on next Tab</t>
  </si>
  <si>
    <t>Frequency Table by Salary Ranges</t>
  </si>
  <si>
    <t>Quantitative Reasoning in Action</t>
  </si>
  <si>
    <t>Section 1: Complete all Columns in Data Set</t>
  </si>
  <si>
    <t>Section 2: Complete Summary Tables for Graphing</t>
  </si>
  <si>
    <t>Section 3: Complete Descriptive Statistics</t>
  </si>
  <si>
    <t>Up to 20</t>
  </si>
  <si>
    <t>21-30</t>
  </si>
  <si>
    <t>31-40</t>
  </si>
  <si>
    <t>41-50</t>
  </si>
  <si>
    <t>51-60</t>
  </si>
  <si>
    <t>61-70</t>
  </si>
  <si>
    <t>71-80</t>
  </si>
  <si>
    <t>81-90</t>
  </si>
  <si>
    <t>91-100</t>
  </si>
  <si>
    <t>101-110</t>
  </si>
  <si>
    <t>111-120</t>
  </si>
  <si>
    <t>121-130</t>
  </si>
  <si>
    <t>131-140</t>
  </si>
  <si>
    <t>141-150</t>
  </si>
  <si>
    <t>151-160</t>
  </si>
  <si>
    <t>161-170</t>
  </si>
  <si>
    <t>171-180</t>
  </si>
  <si>
    <t>181-190</t>
  </si>
  <si>
    <t>191-200</t>
  </si>
  <si>
    <t>200+</t>
  </si>
  <si>
    <t>Standard Error</t>
  </si>
  <si>
    <t>Standard Deviation</t>
  </si>
  <si>
    <t>Sample Variance</t>
  </si>
  <si>
    <t>Minimum</t>
  </si>
  <si>
    <t>Maximum</t>
  </si>
  <si>
    <t>Confidence Level(95.0%)</t>
  </si>
  <si>
    <t>More</t>
  </si>
  <si>
    <t>Frequency</t>
  </si>
  <si>
    <t>20000</t>
  </si>
  <si>
    <t>A.G.R</t>
  </si>
  <si>
    <t>%g 2016</t>
  </si>
</sst>
</file>

<file path=xl/styles.xml><?xml version="1.0" encoding="utf-8"?>
<styleSheet xmlns="http://schemas.openxmlformats.org/spreadsheetml/2006/main">
  <numFmts count="4">
    <numFmt numFmtId="6" formatCode="&quot;$&quot;#,##0_);[Red]\(&quot;$&quot;#,##0\)"/>
    <numFmt numFmtId="8" formatCode="&quot;$&quot;#,##0.00_);[Red]\(&quot;$&quot;#,##0.00\)"/>
    <numFmt numFmtId="164" formatCode="mm/dd/yy;@"/>
    <numFmt numFmtId="165" formatCode="0_);[Red]\(0\)"/>
  </numFmts>
  <fonts count="19">
    <font>
      <sz val="11"/>
      <color theme="1"/>
      <name val="Calibri"/>
      <family val="2"/>
      <scheme val="minor"/>
    </font>
    <font>
      <sz val="11"/>
      <color rgb="FF000000"/>
      <name val="Arial"/>
      <family val="2"/>
    </font>
    <font>
      <b/>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b/>
      <sz val="11"/>
      <color theme="1"/>
      <name val="Verdana"/>
      <family val="2"/>
    </font>
    <font>
      <sz val="11"/>
      <color theme="1"/>
      <name val="Verdana"/>
      <family val="2"/>
    </font>
    <font>
      <i/>
      <sz val="11"/>
      <color theme="1"/>
      <name val="Verdana"/>
      <family val="2"/>
    </font>
    <font>
      <sz val="11"/>
      <color theme="0" tint="-0.499984740745262"/>
      <name val="Verdana"/>
      <family val="2"/>
    </font>
    <font>
      <sz val="11"/>
      <color theme="0" tint="-0.34998626667073579"/>
      <name val="Verdana"/>
      <family val="2"/>
    </font>
    <font>
      <sz val="12"/>
      <color theme="1"/>
      <name val="Times New Roman"/>
      <family val="1"/>
    </font>
    <font>
      <b/>
      <sz val="11"/>
      <color theme="0"/>
      <name val="Verdana"/>
      <family val="2"/>
    </font>
    <font>
      <sz val="11"/>
      <color theme="1"/>
      <name val="Calibri"/>
      <family val="2"/>
      <scheme val="minor"/>
    </font>
    <font>
      <sz val="11"/>
      <color rgb="FF00B0F0"/>
      <name val="Verdana"/>
      <family val="2"/>
    </font>
    <font>
      <sz val="11"/>
      <color rgb="FF00B0F0"/>
      <name val="Calibri"/>
      <family val="2"/>
      <scheme val="minor"/>
    </font>
    <font>
      <sz val="11"/>
      <name val="Verdana"/>
      <family val="2"/>
    </font>
    <font>
      <sz val="11"/>
      <name val="Calibri"/>
      <family val="2"/>
      <scheme val="minor"/>
    </font>
    <font>
      <sz val="12"/>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CF6DC"/>
        <bgColor indexed="64"/>
      </patternFill>
    </fill>
    <fill>
      <patternFill patternType="solid">
        <fgColor theme="6" tint="0.79998168889431442"/>
        <bgColor indexed="64"/>
      </patternFill>
    </fill>
    <fill>
      <patternFill patternType="solid">
        <fgColor theme="0"/>
        <bgColor theme="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theme="4" tint="0.39997558519241921"/>
      </right>
      <top style="medium">
        <color auto="1"/>
      </top>
      <bottom style="thin">
        <color theme="4" tint="0.39997558519241921"/>
      </bottom>
      <diagonal/>
    </border>
    <border>
      <left/>
      <right/>
      <top style="medium">
        <color auto="1"/>
      </top>
      <bottom style="thin">
        <color auto="1"/>
      </bottom>
      <diagonal/>
    </border>
  </borders>
  <cellStyleXfs count="2">
    <xf numFmtId="0" fontId="0" fillId="0" borderId="0"/>
    <xf numFmtId="9" fontId="13" fillId="0" borderId="0" applyFont="0" applyFill="0" applyBorder="0" applyAlignment="0" applyProtection="0"/>
  </cellStyleXfs>
  <cellXfs count="148">
    <xf numFmtId="0" fontId="0" fillId="0" borderId="0" xfId="0"/>
    <xf numFmtId="0" fontId="0" fillId="0" borderId="0" xfId="0" applyAlignment="1">
      <alignment horizontal="center"/>
    </xf>
    <xf numFmtId="6" fontId="0" fillId="0" borderId="0" xfId="0" applyNumberFormat="1" applyAlignment="1">
      <alignment horizontal="center"/>
    </xf>
    <xf numFmtId="8" fontId="0" fillId="0" borderId="0" xfId="0" applyNumberFormat="1" applyAlignment="1">
      <alignment horizontal="center"/>
    </xf>
    <xf numFmtId="14" fontId="0" fillId="0" borderId="0" xfId="0" applyNumberForma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Border="1"/>
    <xf numFmtId="0" fontId="0" fillId="0" borderId="2" xfId="0" applyBorder="1" applyAlignment="1">
      <alignment horizontal="center"/>
    </xf>
    <xf numFmtId="0" fontId="2" fillId="0" borderId="0" xfId="0" applyFont="1"/>
    <xf numFmtId="0" fontId="3" fillId="0" borderId="0" xfId="0" applyFont="1" applyAlignment="1">
      <alignment horizontal="left"/>
    </xf>
    <xf numFmtId="0" fontId="2" fillId="0" borderId="0" xfId="0" applyFont="1" applyAlignment="1">
      <alignment horizontal="left"/>
    </xf>
    <xf numFmtId="0" fontId="2" fillId="0" borderId="3" xfId="0" applyFont="1" applyBorder="1" applyAlignment="1">
      <alignment horizontal="center"/>
    </xf>
    <xf numFmtId="0" fontId="2" fillId="0" borderId="0" xfId="0" applyFont="1" applyBorder="1"/>
    <xf numFmtId="40" fontId="0" fillId="0" borderId="0" xfId="0" quotePrefix="1" applyNumberFormat="1" applyAlignment="1">
      <alignment horizontal="center"/>
    </xf>
    <xf numFmtId="0" fontId="0" fillId="0" borderId="0" xfId="0" applyAlignment="1">
      <alignment horizontal="center" wrapText="1"/>
    </xf>
    <xf numFmtId="0" fontId="0" fillId="0" borderId="3" xfId="0" applyBorder="1" applyAlignment="1">
      <alignment horizontal="center"/>
    </xf>
    <xf numFmtId="49" fontId="0" fillId="0" borderId="3" xfId="0" applyNumberFormat="1" applyBorder="1" applyAlignment="1">
      <alignment horizontal="center"/>
    </xf>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xf>
    <xf numFmtId="0" fontId="0" fillId="0" borderId="0" xfId="0" applyFont="1" applyAlignment="1">
      <alignment horizontal="center"/>
    </xf>
    <xf numFmtId="0" fontId="5" fillId="0" borderId="0" xfId="0" applyFont="1" applyAlignment="1">
      <alignment horizontal="left"/>
    </xf>
    <xf numFmtId="0" fontId="0" fillId="0" borderId="3" xfId="0" applyBorder="1"/>
    <xf numFmtId="0" fontId="0" fillId="0" borderId="3" xfId="0" applyBorder="1" applyAlignment="1">
      <alignment horizontal="left"/>
    </xf>
    <xf numFmtId="0" fontId="1" fillId="0" borderId="3" xfId="0" applyFont="1" applyBorder="1" applyAlignment="1">
      <alignment horizontal="center" vertical="center" wrapText="1"/>
    </xf>
    <xf numFmtId="8" fontId="0" fillId="2" borderId="0" xfId="0" applyNumberFormat="1" applyFill="1" applyAlignment="1">
      <alignment horizontal="center"/>
    </xf>
    <xf numFmtId="165" fontId="0" fillId="2" borderId="0" xfId="0" applyNumberFormat="1" applyFill="1" applyAlignment="1">
      <alignment horizontal="center"/>
    </xf>
    <xf numFmtId="40" fontId="0" fillId="2" borderId="0" xfId="0" quotePrefix="1" applyNumberForma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5" fillId="2" borderId="0" xfId="0" applyFont="1" applyFill="1" applyAlignment="1">
      <alignment horizontal="left"/>
    </xf>
    <xf numFmtId="0" fontId="3" fillId="2" borderId="0" xfId="0" applyFont="1" applyFill="1" applyAlignment="1">
      <alignment horizontal="left"/>
    </xf>
    <xf numFmtId="0" fontId="2" fillId="0" borderId="5" xfId="0" applyFont="1" applyBorder="1" applyAlignment="1">
      <alignment horizontal="center"/>
    </xf>
    <xf numFmtId="6" fontId="0" fillId="0" borderId="5" xfId="0" applyNumberFormat="1" applyFont="1" applyBorder="1" applyAlignment="1"/>
    <xf numFmtId="0" fontId="0" fillId="0" borderId="5" xfId="0" applyFont="1" applyBorder="1" applyAlignment="1"/>
    <xf numFmtId="0" fontId="0" fillId="0" borderId="1" xfId="0" applyBorder="1" applyAlignment="1">
      <alignment horizontal="left"/>
    </xf>
    <xf numFmtId="0" fontId="0" fillId="0" borderId="1" xfId="0" applyBorder="1" applyAlignment="1">
      <alignment horizontal="center"/>
    </xf>
    <xf numFmtId="0" fontId="0" fillId="0" borderId="0" xfId="0" applyFont="1" applyAlignment="1">
      <alignment horizontal="left"/>
    </xf>
    <xf numFmtId="0" fontId="0" fillId="0" borderId="0" xfId="0" applyFill="1" applyBorder="1" applyAlignment="1"/>
    <xf numFmtId="0" fontId="0" fillId="0" borderId="0" xfId="0" applyBorder="1" applyAlignment="1">
      <alignment horizontal="center"/>
    </xf>
    <xf numFmtId="0" fontId="0" fillId="0" borderId="0" xfId="0" applyBorder="1" applyAlignment="1">
      <alignment horizontal="left"/>
    </xf>
    <xf numFmtId="0" fontId="0" fillId="6" borderId="3" xfId="0" applyFill="1" applyBorder="1" applyAlignment="1">
      <alignment horizontal="center"/>
    </xf>
    <xf numFmtId="10" fontId="0" fillId="6" borderId="3" xfId="0" applyNumberFormat="1" applyFill="1" applyBorder="1" applyAlignment="1">
      <alignment horizontal="center"/>
    </xf>
    <xf numFmtId="0" fontId="0" fillId="6" borderId="2" xfId="0" applyFill="1" applyBorder="1" applyAlignment="1">
      <alignment horizontal="center"/>
    </xf>
    <xf numFmtId="6" fontId="0" fillId="6" borderId="0" xfId="0" applyNumberFormat="1" applyFill="1" applyAlignment="1">
      <alignment horizontal="center"/>
    </xf>
    <xf numFmtId="0" fontId="0" fillId="6" borderId="0" xfId="0" applyFill="1" applyAlignment="1">
      <alignment horizontal="center"/>
    </xf>
    <xf numFmtId="6" fontId="0" fillId="6" borderId="0" xfId="0" applyNumberFormat="1" applyFill="1" applyBorder="1" applyAlignment="1">
      <alignment horizontal="center"/>
    </xf>
    <xf numFmtId="0" fontId="6" fillId="0" borderId="0" xfId="0" applyFont="1" applyAlignment="1">
      <alignment horizontal="left"/>
    </xf>
    <xf numFmtId="0" fontId="7" fillId="0" borderId="0" xfId="0" applyFont="1" applyAlignment="1">
      <alignment horizontal="center"/>
    </xf>
    <xf numFmtId="0" fontId="8" fillId="5" borderId="0" xfId="0" applyFont="1" applyFill="1" applyAlignment="1">
      <alignment horizontal="center"/>
    </xf>
    <xf numFmtId="0" fontId="9" fillId="0" borderId="6" xfId="0" applyFont="1" applyBorder="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14" fontId="9" fillId="0" borderId="3" xfId="0" applyNumberFormat="1" applyFont="1" applyBorder="1" applyAlignment="1">
      <alignment horizontal="center"/>
    </xf>
    <xf numFmtId="0" fontId="9" fillId="0" borderId="3" xfId="0" applyFont="1" applyBorder="1" applyAlignment="1">
      <alignment horizontal="center"/>
    </xf>
    <xf numFmtId="0" fontId="10" fillId="0" borderId="9" xfId="0" applyFont="1" applyBorder="1" applyAlignment="1">
      <alignment horizontal="center"/>
    </xf>
    <xf numFmtId="0" fontId="7" fillId="3" borderId="4" xfId="0" applyFont="1" applyFill="1" applyBorder="1" applyAlignment="1">
      <alignment horizontal="center"/>
    </xf>
    <xf numFmtId="0" fontId="7" fillId="4" borderId="4" xfId="0" applyFont="1" applyFill="1" applyBorder="1" applyAlignment="1">
      <alignment horizontal="center"/>
    </xf>
    <xf numFmtId="0" fontId="7" fillId="3" borderId="10" xfId="0" applyFont="1" applyFill="1" applyBorder="1" applyAlignment="1">
      <alignment horizontal="center"/>
    </xf>
    <xf numFmtId="1" fontId="7" fillId="0" borderId="0" xfId="0" applyNumberFormat="1" applyFont="1" applyAlignment="1">
      <alignment horizontal="center"/>
    </xf>
    <xf numFmtId="164" fontId="7" fillId="0" borderId="0" xfId="0" applyNumberFormat="1" applyFont="1" applyAlignment="1">
      <alignment horizontal="center"/>
    </xf>
    <xf numFmtId="49" fontId="7" fillId="0" borderId="0" xfId="0" applyNumberFormat="1" applyFont="1" applyAlignment="1">
      <alignment horizontal="center"/>
    </xf>
    <xf numFmtId="40" fontId="7" fillId="0" borderId="0" xfId="0" quotePrefix="1" applyNumberFormat="1" applyFont="1" applyAlignment="1">
      <alignment horizontal="center"/>
    </xf>
    <xf numFmtId="165" fontId="7" fillId="0" borderId="0" xfId="0" applyNumberFormat="1" applyFont="1" applyAlignment="1">
      <alignment horizontal="center"/>
    </xf>
    <xf numFmtId="14" fontId="7" fillId="0" borderId="0" xfId="0" applyNumberFormat="1" applyFont="1" applyAlignment="1">
      <alignment horizontal="center"/>
    </xf>
    <xf numFmtId="2" fontId="11" fillId="0" borderId="0" xfId="0" applyNumberFormat="1" applyFont="1" applyAlignment="1">
      <alignment vertical="center"/>
    </xf>
    <xf numFmtId="0" fontId="0" fillId="6" borderId="0" xfId="0" applyNumberFormat="1" applyFill="1" applyAlignment="1">
      <alignment horizontal="center"/>
    </xf>
    <xf numFmtId="0" fontId="7" fillId="3" borderId="11" xfId="0" applyFont="1" applyFill="1" applyBorder="1" applyAlignment="1">
      <alignment horizontal="center"/>
    </xf>
    <xf numFmtId="6" fontId="7" fillId="0" borderId="0" xfId="0" applyNumberFormat="1" applyFont="1" applyAlignment="1">
      <alignment horizontal="center"/>
    </xf>
    <xf numFmtId="0" fontId="0" fillId="6" borderId="0" xfId="0" applyNumberFormat="1" applyFill="1" applyBorder="1" applyAlignment="1">
      <alignment horizontal="center"/>
    </xf>
    <xf numFmtId="2" fontId="7" fillId="0" borderId="0" xfId="0" applyNumberFormat="1" applyFont="1" applyBorder="1" applyAlignment="1">
      <alignment horizontal="center"/>
    </xf>
    <xf numFmtId="2" fontId="7" fillId="0" borderId="12" xfId="0" applyNumberFormat="1" applyFont="1" applyBorder="1" applyAlignment="1">
      <alignment horizontal="center"/>
    </xf>
    <xf numFmtId="2" fontId="7" fillId="0" borderId="1" xfId="0" applyNumberFormat="1" applyFont="1" applyBorder="1" applyAlignment="1">
      <alignment horizontal="center"/>
    </xf>
    <xf numFmtId="2" fontId="7" fillId="0" borderId="14" xfId="0" applyNumberFormat="1" applyFont="1" applyBorder="1" applyAlignment="1">
      <alignment horizontal="center"/>
    </xf>
    <xf numFmtId="0" fontId="0" fillId="0" borderId="0" xfId="0"/>
    <xf numFmtId="0" fontId="0" fillId="0" borderId="0" xfId="0" applyAlignment="1">
      <alignment horizontal="center"/>
    </xf>
    <xf numFmtId="6" fontId="0" fillId="0" borderId="0" xfId="0" applyNumberFormat="1" applyAlignment="1">
      <alignment horizontal="center"/>
    </xf>
    <xf numFmtId="8" fontId="0" fillId="0" borderId="0" xfId="0" applyNumberForma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3" fillId="0" borderId="0" xfId="0" applyFont="1" applyAlignment="1">
      <alignment horizontal="left"/>
    </xf>
    <xf numFmtId="0" fontId="2" fillId="0" borderId="3" xfId="0" applyFont="1" applyBorder="1" applyAlignment="1">
      <alignment horizontal="center"/>
    </xf>
    <xf numFmtId="40" fontId="0" fillId="0" borderId="0" xfId="0" quotePrefix="1" applyNumberFormat="1" applyAlignment="1">
      <alignment horizontal="center"/>
    </xf>
    <xf numFmtId="0" fontId="0" fillId="0" borderId="3" xfId="0" applyBorder="1" applyAlignment="1">
      <alignment horizontal="center"/>
    </xf>
    <xf numFmtId="0" fontId="0" fillId="0" borderId="0" xfId="0" applyFont="1" applyAlignment="1">
      <alignment horizontal="center"/>
    </xf>
    <xf numFmtId="0" fontId="5" fillId="0" borderId="0" xfId="0" applyFont="1" applyAlignment="1">
      <alignment horizontal="left"/>
    </xf>
    <xf numFmtId="0" fontId="0" fillId="2" borderId="0" xfId="0" applyFill="1" applyAlignment="1">
      <alignment horizontal="center"/>
    </xf>
    <xf numFmtId="0" fontId="5" fillId="2" borderId="0" xfId="0" applyFont="1" applyFill="1" applyAlignment="1">
      <alignment horizontal="left"/>
    </xf>
    <xf numFmtId="0" fontId="3" fillId="2" borderId="0" xfId="0" applyFont="1" applyFill="1" applyAlignment="1">
      <alignment horizontal="left"/>
    </xf>
    <xf numFmtId="0" fontId="2" fillId="0" borderId="5" xfId="0" applyFont="1" applyBorder="1" applyAlignment="1">
      <alignment horizontal="center"/>
    </xf>
    <xf numFmtId="6" fontId="0" fillId="0" borderId="5" xfId="0" applyNumberFormat="1" applyFont="1" applyBorder="1" applyAlignment="1"/>
    <xf numFmtId="0" fontId="0" fillId="0" borderId="5" xfId="0" applyFont="1" applyBorder="1" applyAlignment="1"/>
    <xf numFmtId="0" fontId="0" fillId="0" borderId="0" xfId="0" applyFill="1" applyBorder="1" applyAlignment="1"/>
    <xf numFmtId="0" fontId="0" fillId="0" borderId="0" xfId="0" applyBorder="1" applyAlignment="1">
      <alignment horizontal="center"/>
    </xf>
    <xf numFmtId="6" fontId="0" fillId="0" borderId="11" xfId="0" applyNumberFormat="1" applyBorder="1" applyAlignment="1">
      <alignment horizontal="center"/>
    </xf>
    <xf numFmtId="6" fontId="0" fillId="0" borderId="13" xfId="0" applyNumberFormat="1" applyBorder="1" applyAlignment="1">
      <alignment horizontal="center"/>
    </xf>
    <xf numFmtId="0" fontId="0" fillId="6" borderId="3" xfId="0" applyFill="1" applyBorder="1" applyAlignment="1">
      <alignment horizontal="center"/>
    </xf>
    <xf numFmtId="10" fontId="0" fillId="6" borderId="3" xfId="0" applyNumberFormat="1" applyFill="1" applyBorder="1" applyAlignment="1">
      <alignment horizontal="center"/>
    </xf>
    <xf numFmtId="6" fontId="0" fillId="6" borderId="0" xfId="0" applyNumberFormat="1" applyFill="1" applyAlignment="1">
      <alignment horizontal="center"/>
    </xf>
    <xf numFmtId="0" fontId="0" fillId="6" borderId="0" xfId="0" applyFill="1" applyAlignment="1">
      <alignment horizontal="center"/>
    </xf>
    <xf numFmtId="6" fontId="0" fillId="6" borderId="0" xfId="0" applyNumberFormat="1" applyFill="1" applyBorder="1" applyAlignment="1">
      <alignment horizontal="center"/>
    </xf>
    <xf numFmtId="2" fontId="12" fillId="7" borderId="15" xfId="0" applyNumberFormat="1" applyFont="1" applyFill="1" applyBorder="1" applyAlignment="1">
      <alignment horizontal="center"/>
    </xf>
    <xf numFmtId="0" fontId="0" fillId="0" borderId="4" xfId="0" applyFill="1" applyBorder="1" applyAlignment="1"/>
    <xf numFmtId="0" fontId="4" fillId="0" borderId="16" xfId="0" applyFont="1" applyFill="1" applyBorder="1" applyAlignment="1">
      <alignment horizontal="center"/>
    </xf>
    <xf numFmtId="2" fontId="0" fillId="0" borderId="0" xfId="0" applyNumberFormat="1"/>
    <xf numFmtId="0" fontId="0" fillId="0" borderId="0" xfId="0" applyNumberFormat="1" applyFill="1" applyBorder="1" applyAlignment="1"/>
    <xf numFmtId="1" fontId="7" fillId="0" borderId="0" xfId="0" applyNumberFormat="1" applyFont="1" applyBorder="1" applyAlignment="1">
      <alignment horizontal="center"/>
    </xf>
    <xf numFmtId="0" fontId="8" fillId="5" borderId="0" xfId="0" applyFont="1" applyFill="1" applyBorder="1" applyAlignment="1">
      <alignment horizontal="center"/>
    </xf>
    <xf numFmtId="0" fontId="0" fillId="2" borderId="0" xfId="0" applyFill="1" applyBorder="1" applyAlignment="1">
      <alignment horizontal="center"/>
    </xf>
    <xf numFmtId="0" fontId="7" fillId="0" borderId="0" xfId="0" applyFont="1" applyBorder="1" applyAlignment="1">
      <alignment horizontal="center"/>
    </xf>
    <xf numFmtId="1" fontId="14" fillId="0" borderId="0" xfId="0" applyNumberFormat="1" applyFont="1" applyAlignment="1">
      <alignment horizontal="center"/>
    </xf>
    <xf numFmtId="2" fontId="15" fillId="0" borderId="0" xfId="0" applyNumberFormat="1" applyFont="1"/>
    <xf numFmtId="0" fontId="15" fillId="0" borderId="0" xfId="0" applyFont="1"/>
    <xf numFmtId="1" fontId="14" fillId="0" borderId="0" xfId="0" applyNumberFormat="1" applyFont="1" applyBorder="1" applyAlignment="1">
      <alignment horizontal="center"/>
    </xf>
    <xf numFmtId="1" fontId="16" fillId="0" borderId="0" xfId="0" applyNumberFormat="1" applyFont="1" applyAlignment="1">
      <alignment horizontal="center"/>
    </xf>
    <xf numFmtId="164" fontId="16" fillId="0" borderId="0" xfId="0" applyNumberFormat="1" applyFont="1" applyAlignment="1">
      <alignment horizontal="center"/>
    </xf>
    <xf numFmtId="49" fontId="16" fillId="0" borderId="0" xfId="0" applyNumberFormat="1" applyFont="1" applyAlignment="1">
      <alignment horizontal="center"/>
    </xf>
    <xf numFmtId="6" fontId="17" fillId="0" borderId="11" xfId="0" applyNumberFormat="1" applyFont="1" applyBorder="1" applyAlignment="1">
      <alignment horizontal="center"/>
    </xf>
    <xf numFmtId="8" fontId="17" fillId="0" borderId="0" xfId="0" applyNumberFormat="1" applyFont="1" applyBorder="1" applyAlignment="1">
      <alignment horizontal="center"/>
    </xf>
    <xf numFmtId="2" fontId="18" fillId="0" borderId="0" xfId="0" applyNumberFormat="1" applyFont="1" applyBorder="1" applyAlignment="1">
      <alignment vertical="center"/>
    </xf>
    <xf numFmtId="2" fontId="16" fillId="0" borderId="0" xfId="0" applyNumberFormat="1" applyFont="1" applyBorder="1" applyAlignment="1">
      <alignment horizontal="center"/>
    </xf>
    <xf numFmtId="2" fontId="16" fillId="0" borderId="12" xfId="0" applyNumberFormat="1" applyFont="1" applyBorder="1" applyAlignment="1">
      <alignment horizontal="center"/>
    </xf>
    <xf numFmtId="40" fontId="16" fillId="0" borderId="0" xfId="0" quotePrefix="1"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2" fontId="17" fillId="0" borderId="0" xfId="0" applyNumberFormat="1" applyFont="1"/>
    <xf numFmtId="0" fontId="17" fillId="0" borderId="0" xfId="0" applyFont="1"/>
    <xf numFmtId="0" fontId="16" fillId="3" borderId="4" xfId="0" applyFont="1" applyFill="1" applyBorder="1" applyAlignment="1">
      <alignment horizontal="center"/>
    </xf>
    <xf numFmtId="0" fontId="16" fillId="3" borderId="11" xfId="0" applyFont="1" applyFill="1" applyBorder="1" applyAlignment="1">
      <alignment horizontal="center"/>
    </xf>
    <xf numFmtId="0" fontId="16" fillId="4" borderId="4" xfId="0" applyFont="1" applyFill="1" applyBorder="1" applyAlignment="1">
      <alignment horizontal="center"/>
    </xf>
    <xf numFmtId="0" fontId="16" fillId="3" borderId="10" xfId="0" applyFont="1" applyFill="1" applyBorder="1" applyAlignment="1">
      <alignment horizontal="center"/>
    </xf>
    <xf numFmtId="49" fontId="16" fillId="0" borderId="0" xfId="0" applyNumberFormat="1" applyFont="1" applyBorder="1" applyAlignment="1">
      <alignment horizontal="center"/>
    </xf>
    <xf numFmtId="164" fontId="16" fillId="0" borderId="0" xfId="0" applyNumberFormat="1" applyFont="1" applyBorder="1" applyAlignment="1">
      <alignment horizontal="center"/>
    </xf>
    <xf numFmtId="40" fontId="16" fillId="0" borderId="0" xfId="0" quotePrefix="1" applyNumberFormat="1" applyFont="1" applyBorder="1" applyAlignment="1">
      <alignment horizontal="center"/>
    </xf>
    <xf numFmtId="165" fontId="16" fillId="0" borderId="0" xfId="0" applyNumberFormat="1" applyFont="1" applyBorder="1" applyAlignment="1">
      <alignment horizontal="center"/>
    </xf>
    <xf numFmtId="0" fontId="16" fillId="0" borderId="0" xfId="0" applyFont="1" applyBorder="1" applyAlignment="1">
      <alignment horizontal="center"/>
    </xf>
    <xf numFmtId="14" fontId="17" fillId="0" borderId="0" xfId="0" applyNumberFormat="1" applyFont="1" applyAlignment="1">
      <alignment horizontal="center"/>
    </xf>
    <xf numFmtId="14" fontId="16" fillId="0" borderId="0" xfId="0" applyNumberFormat="1" applyFont="1" applyAlignment="1">
      <alignment horizontal="center"/>
    </xf>
    <xf numFmtId="6" fontId="17" fillId="0" borderId="13" xfId="0" applyNumberFormat="1" applyFont="1" applyBorder="1" applyAlignment="1">
      <alignment horizontal="center"/>
    </xf>
    <xf numFmtId="2" fontId="16" fillId="0" borderId="1" xfId="0" applyNumberFormat="1" applyFont="1" applyBorder="1" applyAlignment="1">
      <alignment horizontal="center"/>
    </xf>
    <xf numFmtId="2" fontId="16" fillId="0" borderId="14" xfId="0" applyNumberFormat="1" applyFont="1" applyBorder="1" applyAlignment="1">
      <alignment horizontal="center"/>
    </xf>
    <xf numFmtId="9" fontId="0" fillId="0" borderId="0" xfId="1" applyFont="1" applyAlignment="1">
      <alignment horizontal="center"/>
    </xf>
    <xf numFmtId="0" fontId="0" fillId="0" borderId="0" xfId="0" applyAlignment="1">
      <alignment horizontal="left"/>
    </xf>
    <xf numFmtId="0" fontId="2" fillId="2" borderId="0" xfId="0" applyFont="1" applyFill="1" applyAlignment="1">
      <alignment horizontal="left"/>
    </xf>
    <xf numFmtId="0" fontId="2" fillId="2"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FCF6DC"/>
      <color rgb="FFF6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of Employees by gender</a:t>
            </a:r>
          </a:p>
        </c:rich>
      </c:tx>
      <c:layout>
        <c:manualLayout>
          <c:xMode val="edge"/>
          <c:yMode val="edge"/>
          <c:x val="0.22652077865266798"/>
          <c:y val="2.7777777777777807E-2"/>
        </c:manualLayout>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DATA!$I$396</c:f>
              <c:strCache>
                <c:ptCount val="1"/>
                <c:pt idx="0">
                  <c:v>%</c:v>
                </c:pt>
              </c:strCache>
            </c:strRef>
          </c:tx>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8C7E-4408-A5F0-A68DAAC8CEA7}"/>
              </c:ext>
            </c:extLst>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8C7E-4408-A5F0-A68DAAC8CEA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
            <c:spPr>
              <a:noFill/>
              <a:ln>
                <a:noFill/>
              </a:ln>
              <a:effectLst/>
            </c:spPr>
            <c:dLblPos val="outEnd"/>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DATA!$G$397:$G$398</c:f>
              <c:strCache>
                <c:ptCount val="2"/>
                <c:pt idx="0">
                  <c:v>Male</c:v>
                </c:pt>
                <c:pt idx="1">
                  <c:v>Female</c:v>
                </c:pt>
              </c:strCache>
            </c:strRef>
          </c:cat>
          <c:val>
            <c:numRef>
              <c:f>DATA!$I$397:$I$398</c:f>
              <c:numCache>
                <c:formatCode>0.00%</c:formatCode>
                <c:ptCount val="2"/>
                <c:pt idx="0">
                  <c:v>0.80645161290322576</c:v>
                </c:pt>
                <c:pt idx="1">
                  <c:v>0.19354838709677419</c:v>
                </c:pt>
              </c:numCache>
            </c:numRef>
          </c:val>
          <c:extLst xmlns:c16r2="http://schemas.microsoft.com/office/drawing/2015/06/chart">
            <c:ext xmlns:c16="http://schemas.microsoft.com/office/drawing/2014/chart" uri="{C3380CC4-5D6E-409C-BE32-E72D297353CC}">
              <c16:uniqueId val="{00000004-8C7E-4408-A5F0-A68DAAC8CEA7}"/>
            </c:ext>
          </c:extLst>
        </c:ser>
        <c:dLbls>
          <c:showCatName val="1"/>
        </c:dLbls>
      </c:pie3D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of employees by education level</a:t>
            </a:r>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DATA!$I$402</c:f>
              <c:strCache>
                <c:ptCount val="1"/>
                <c:pt idx="0">
                  <c:v>%</c:v>
                </c:pt>
              </c:strCache>
            </c:strRef>
          </c:tx>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2568-467F-B4B1-7D87019D17A5}"/>
              </c:ext>
            </c:extLst>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2568-467F-B4B1-7D87019D17A5}"/>
              </c:ext>
            </c:extLst>
          </c:dPt>
          <c:dPt>
            <c:idx val="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2568-467F-B4B1-7D87019D17A5}"/>
              </c:ext>
            </c:extLst>
          </c:dPt>
          <c:dPt>
            <c:idx val="3"/>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2568-467F-B4B1-7D87019D17A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
            <c:spPr>
              <a:noFill/>
              <a:ln>
                <a:noFill/>
              </a:ln>
              <a:effectLst/>
            </c:spPr>
            <c:dLblPos val="outEnd"/>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DATA!$G$403:$G$406</c:f>
              <c:strCache>
                <c:ptCount val="4"/>
                <c:pt idx="0">
                  <c:v>HS</c:v>
                </c:pt>
                <c:pt idx="1">
                  <c:v>AA</c:v>
                </c:pt>
                <c:pt idx="2">
                  <c:v>BA/BS</c:v>
                </c:pt>
                <c:pt idx="3">
                  <c:v>Masters</c:v>
                </c:pt>
              </c:strCache>
            </c:strRef>
          </c:cat>
          <c:val>
            <c:numRef>
              <c:f>DATA!$I$403:$I$406</c:f>
              <c:numCache>
                <c:formatCode>0.00%</c:formatCode>
                <c:ptCount val="4"/>
                <c:pt idx="0">
                  <c:v>0.57795698924731187</c:v>
                </c:pt>
                <c:pt idx="1">
                  <c:v>9.9462365591397844E-2</c:v>
                </c:pt>
                <c:pt idx="2">
                  <c:v>0.25</c:v>
                </c:pt>
                <c:pt idx="3">
                  <c:v>7.2580645161290328E-2</c:v>
                </c:pt>
              </c:numCache>
            </c:numRef>
          </c:val>
          <c:extLst xmlns:c16r2="http://schemas.microsoft.com/office/drawing/2015/06/chart">
            <c:ext xmlns:c16="http://schemas.microsoft.com/office/drawing/2014/chart" uri="{C3380CC4-5D6E-409C-BE32-E72D297353CC}">
              <c16:uniqueId val="{00000008-2568-467F-B4B1-7D87019D17A5}"/>
            </c:ext>
          </c:extLst>
        </c:ser>
        <c:dLbls>
          <c:showCatName val="1"/>
        </c:dLbls>
      </c:pie3D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of empLOYEES BY MARITAL STATUS</a:t>
            </a:r>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DATA!$I$410</c:f>
              <c:strCache>
                <c:ptCount val="1"/>
                <c:pt idx="0">
                  <c:v>%</c:v>
                </c:pt>
              </c:strCache>
            </c:strRef>
          </c:tx>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5B4C-4A72-B3A2-C9E22621967C}"/>
              </c:ext>
            </c:extLst>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5B4C-4A72-B3A2-C9E22621967C}"/>
              </c:ext>
            </c:extLst>
          </c:dPt>
          <c:dPt>
            <c:idx val="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5B4C-4A72-B3A2-C9E22621967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
            <c:spPr>
              <a:noFill/>
              <a:ln>
                <a:noFill/>
              </a:ln>
              <a:effectLst/>
            </c:spPr>
            <c:dLblPos val="outEnd"/>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DATA!$G$411:$G$413</c:f>
              <c:strCache>
                <c:ptCount val="2"/>
                <c:pt idx="0">
                  <c:v>Married</c:v>
                </c:pt>
                <c:pt idx="1">
                  <c:v>Single</c:v>
                </c:pt>
              </c:strCache>
            </c:strRef>
          </c:cat>
          <c:val>
            <c:numRef>
              <c:f>DATA!$I$411:$I$413</c:f>
              <c:numCache>
                <c:formatCode>0.00%</c:formatCode>
                <c:ptCount val="3"/>
                <c:pt idx="0">
                  <c:v>0.68279569892473113</c:v>
                </c:pt>
                <c:pt idx="1">
                  <c:v>0.31720430107526881</c:v>
                </c:pt>
              </c:numCache>
            </c:numRef>
          </c:val>
          <c:extLst xmlns:c16r2="http://schemas.microsoft.com/office/drawing/2015/06/chart">
            <c:ext xmlns:c16="http://schemas.microsoft.com/office/drawing/2014/chart" uri="{C3380CC4-5D6E-409C-BE32-E72D297353CC}">
              <c16:uniqueId val="{00000006-5B4C-4A72-B3A2-C9E22621967C}"/>
            </c:ext>
          </c:extLst>
        </c:ser>
        <c:dLbls>
          <c:showCatName val="1"/>
        </c:dLbls>
      </c:pie3D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OF EMPLOYEES BY RACE</a:t>
            </a:r>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DATA!$H$388</c:f>
              <c:strCache>
                <c:ptCount val="1"/>
                <c:pt idx="0">
                  <c:v>#</c:v>
                </c:pt>
              </c:strCache>
            </c:strRef>
          </c:tx>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E38E-41D7-A873-77B7455DE4F0}"/>
              </c:ext>
            </c:extLst>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E38E-41D7-A873-77B7455DE4F0}"/>
              </c:ext>
            </c:extLst>
          </c:dPt>
          <c:dPt>
            <c:idx val="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E38E-41D7-A873-77B7455DE4F0}"/>
              </c:ext>
            </c:extLst>
          </c:dPt>
          <c:dPt>
            <c:idx val="3"/>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E38E-41D7-A873-77B7455DE4F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
            <c:spPr>
              <a:noFill/>
              <a:ln>
                <a:noFill/>
              </a:ln>
              <a:effectLst/>
            </c:spPr>
            <c:dLblPos val="outEnd"/>
            <c:showVal val="1"/>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DATA!$G$389:$G$392</c:f>
              <c:strCache>
                <c:ptCount val="4"/>
                <c:pt idx="0">
                  <c:v>African-Am</c:v>
                </c:pt>
                <c:pt idx="1">
                  <c:v>Asian</c:v>
                </c:pt>
                <c:pt idx="2">
                  <c:v>Caucasian</c:v>
                </c:pt>
                <c:pt idx="3">
                  <c:v>Hispanic</c:v>
                </c:pt>
              </c:strCache>
            </c:strRef>
          </c:cat>
          <c:val>
            <c:numRef>
              <c:f>DATA!$H$389:$H$392</c:f>
              <c:numCache>
                <c:formatCode>General</c:formatCode>
                <c:ptCount val="4"/>
                <c:pt idx="0">
                  <c:v>96</c:v>
                </c:pt>
                <c:pt idx="1">
                  <c:v>24</c:v>
                </c:pt>
                <c:pt idx="2">
                  <c:v>226</c:v>
                </c:pt>
                <c:pt idx="3">
                  <c:v>25</c:v>
                </c:pt>
              </c:numCache>
            </c:numRef>
          </c:val>
          <c:extLst xmlns:c16r2="http://schemas.microsoft.com/office/drawing/2015/06/chart">
            <c:ext xmlns:c16="http://schemas.microsoft.com/office/drawing/2014/chart" uri="{C3380CC4-5D6E-409C-BE32-E72D297353CC}">
              <c16:uniqueId val="{00000008-E38E-41D7-A873-77B7455DE4F0}"/>
            </c:ext>
          </c:extLst>
        </c:ser>
        <c:dLbls>
          <c:showCatName val="1"/>
        </c:dLbls>
      </c:pie3D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a:t>
            </a:r>
            <a:r>
              <a:rPr lang="en-US" sz="1600" b="1" i="0" u="none" strike="noStrike" cap="all" baseline="0"/>
              <a:t>of employee per state</a:t>
            </a:r>
            <a:endParaRPr lang="en-US"/>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DATA!$H$417</c:f>
              <c:strCache>
                <c:ptCount val="1"/>
                <c:pt idx="0">
                  <c:v>#</c:v>
                </c:pt>
              </c:strCache>
            </c:strRef>
          </c:tx>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F366-47DC-ADBE-183D9E28A744}"/>
              </c:ext>
            </c:extLst>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F366-47DC-ADBE-183D9E28A744}"/>
              </c:ext>
            </c:extLst>
          </c:dPt>
          <c:dPt>
            <c:idx val="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F366-47DC-ADBE-183D9E28A74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
            <c:spPr>
              <a:noFill/>
              <a:ln>
                <a:noFill/>
              </a:ln>
              <a:effectLst/>
            </c:spPr>
            <c:dLblPos val="outEnd"/>
            <c:showVal val="1"/>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DATA!$F$418:$F$420</c:f>
              <c:strCache>
                <c:ptCount val="3"/>
                <c:pt idx="0">
                  <c:v>PA</c:v>
                </c:pt>
                <c:pt idx="1">
                  <c:v>IL</c:v>
                </c:pt>
                <c:pt idx="2">
                  <c:v>NE</c:v>
                </c:pt>
              </c:strCache>
            </c:strRef>
          </c:cat>
          <c:val>
            <c:numRef>
              <c:f>DATA!$H$418:$H$420</c:f>
              <c:numCache>
                <c:formatCode>General</c:formatCode>
                <c:ptCount val="3"/>
                <c:pt idx="0">
                  <c:v>148</c:v>
                </c:pt>
                <c:pt idx="1">
                  <c:v>123</c:v>
                </c:pt>
                <c:pt idx="2">
                  <c:v>101</c:v>
                </c:pt>
              </c:numCache>
            </c:numRef>
          </c:val>
          <c:extLst xmlns:c16r2="http://schemas.microsoft.com/office/drawing/2015/06/chart">
            <c:ext xmlns:c16="http://schemas.microsoft.com/office/drawing/2014/chart" uri="{C3380CC4-5D6E-409C-BE32-E72D297353CC}">
              <c16:uniqueId val="{00000006-F366-47DC-ADBE-183D9E28A744}"/>
            </c:ext>
          </c:extLst>
        </c:ser>
        <c:dLbls>
          <c:showCatName val="1"/>
        </c:dLbls>
      </c:pie3D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sales summary</a:t>
            </a:r>
          </a:p>
        </c:rich>
      </c:tx>
      <c:layout/>
      <c:spPr>
        <a:noFill/>
        <a:ln>
          <a:noFill/>
        </a:ln>
        <a:effectLst/>
      </c:spPr>
    </c:title>
    <c:plotArea>
      <c:layout/>
      <c:lineChart>
        <c:grouping val="standard"/>
        <c:ser>
          <c:idx val="0"/>
          <c:order val="0"/>
          <c:tx>
            <c:strRef>
              <c:f>DATA!$K$388</c:f>
              <c:strCache>
                <c:ptCount val="1"/>
                <c:pt idx="0">
                  <c:v>Yr</c:v>
                </c:pt>
              </c:strCache>
            </c:strRef>
          </c:tx>
          <c:spPr>
            <a:ln w="22225" cap="rnd">
              <a:solidFill>
                <a:schemeClr val="accent1"/>
              </a:solidFill>
            </a:ln>
            <a:effectLst>
              <a:glow rad="139700">
                <a:schemeClr val="accent1">
                  <a:satMod val="175000"/>
                  <a:alpha val="14000"/>
                </a:schemeClr>
              </a:glow>
            </a:effectLst>
          </c:spPr>
          <c:marker>
            <c:symbol val="none"/>
          </c:marker>
          <c:val>
            <c:numRef>
              <c:f>DATA!$K$389:$K$405</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val>
          <c:extLst xmlns:c16r2="http://schemas.microsoft.com/office/drawing/2015/06/chart">
            <c:ext xmlns:c16="http://schemas.microsoft.com/office/drawing/2014/chart" uri="{C3380CC4-5D6E-409C-BE32-E72D297353CC}">
              <c16:uniqueId val="{00000000-E560-408B-86B9-ECEE28D872AF}"/>
            </c:ext>
          </c:extLst>
        </c:ser>
        <c:ser>
          <c:idx val="1"/>
          <c:order val="1"/>
          <c:tx>
            <c:strRef>
              <c:f>DATA!$L$388</c:f>
              <c:strCache>
                <c:ptCount val="1"/>
                <c:pt idx="0">
                  <c:v>Sales</c:v>
                </c:pt>
              </c:strCache>
            </c:strRef>
          </c:tx>
          <c:spPr>
            <a:ln w="22225" cap="rnd">
              <a:solidFill>
                <a:schemeClr val="accent2"/>
              </a:solidFill>
            </a:ln>
            <a:effectLst>
              <a:glow rad="139700">
                <a:schemeClr val="accent2">
                  <a:satMod val="175000"/>
                  <a:alpha val="14000"/>
                </a:schemeClr>
              </a:glow>
            </a:effectLst>
          </c:spPr>
          <c:marker>
            <c:symbol val="none"/>
          </c:marker>
          <c:val>
            <c:numRef>
              <c:f>DATA!$L$389:$L$405</c:f>
              <c:numCache>
                <c:formatCode>"$"#,##0_);[Red]\("$"#,##0\)</c:formatCode>
                <c:ptCount val="17"/>
                <c:pt idx="0">
                  <c:v>-527000</c:v>
                </c:pt>
                <c:pt idx="1">
                  <c:v>1215000</c:v>
                </c:pt>
                <c:pt idx="2">
                  <c:v>-257000</c:v>
                </c:pt>
                <c:pt idx="3">
                  <c:v>985000</c:v>
                </c:pt>
                <c:pt idx="4">
                  <c:v>1274000</c:v>
                </c:pt>
                <c:pt idx="5">
                  <c:v>1578000</c:v>
                </c:pt>
                <c:pt idx="6">
                  <c:v>2061000</c:v>
                </c:pt>
                <c:pt idx="7">
                  <c:v>1987000</c:v>
                </c:pt>
                <c:pt idx="8">
                  <c:v>2057000</c:v>
                </c:pt>
                <c:pt idx="9">
                  <c:v>2565000</c:v>
                </c:pt>
                <c:pt idx="10">
                  <c:v>2467000</c:v>
                </c:pt>
                <c:pt idx="11">
                  <c:v>3846000</c:v>
                </c:pt>
                <c:pt idx="12">
                  <c:v>3252000</c:v>
                </c:pt>
                <c:pt idx="13">
                  <c:v>4226000</c:v>
                </c:pt>
                <c:pt idx="14">
                  <c:v>4844000</c:v>
                </c:pt>
                <c:pt idx="15">
                  <c:v>4922000</c:v>
                </c:pt>
                <c:pt idx="16">
                  <c:v>3702000</c:v>
                </c:pt>
              </c:numCache>
            </c:numRef>
          </c:val>
          <c:extLst xmlns:c16r2="http://schemas.microsoft.com/office/drawing/2015/06/chart">
            <c:ext xmlns:c16="http://schemas.microsoft.com/office/drawing/2014/chart" uri="{C3380CC4-5D6E-409C-BE32-E72D297353CC}">
              <c16:uniqueId val="{00000001-E560-408B-86B9-ECEE28D872AF}"/>
            </c:ext>
          </c:extLst>
        </c:ser>
        <c:dLbls/>
        <c:marker val="1"/>
        <c:axId val="35718656"/>
        <c:axId val="35720192"/>
      </c:lineChart>
      <c:catAx>
        <c:axId val="35718656"/>
        <c:scaling>
          <c:orientation val="minMax"/>
        </c:scaling>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5720192"/>
        <c:crosses val="autoZero"/>
        <c:auto val="1"/>
        <c:lblAlgn val="ctr"/>
        <c:lblOffset val="100"/>
      </c:catAx>
      <c:valAx>
        <c:axId val="35720192"/>
        <c:scaling>
          <c:orientation val="minMax"/>
        </c:scaling>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5718656"/>
        <c:crosses val="autoZero"/>
        <c:crossBetween val="between"/>
      </c:valAx>
      <c:spPr>
        <a:noFill/>
        <a:ln>
          <a:noFill/>
        </a:ln>
        <a:effectLst/>
      </c:spPr>
    </c:plotArea>
    <c:legend>
      <c:legendPos val="t"/>
      <c:layout/>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Histogram!$A$2:$A$21</c:f>
              <c:strCache>
                <c:ptCount val="20"/>
                <c:pt idx="0">
                  <c:v>30000</c:v>
                </c:pt>
                <c:pt idx="1">
                  <c:v>40000</c:v>
                </c:pt>
                <c:pt idx="2">
                  <c:v>50000</c:v>
                </c:pt>
                <c:pt idx="3">
                  <c:v>60000</c:v>
                </c:pt>
                <c:pt idx="4">
                  <c:v>70000</c:v>
                </c:pt>
                <c:pt idx="5">
                  <c:v>80000</c:v>
                </c:pt>
                <c:pt idx="6">
                  <c:v>90000</c:v>
                </c:pt>
                <c:pt idx="7">
                  <c:v>100000</c:v>
                </c:pt>
                <c:pt idx="8">
                  <c:v>110000</c:v>
                </c:pt>
                <c:pt idx="9">
                  <c:v>120000</c:v>
                </c:pt>
                <c:pt idx="10">
                  <c:v>130000</c:v>
                </c:pt>
                <c:pt idx="11">
                  <c:v>140000</c:v>
                </c:pt>
                <c:pt idx="12">
                  <c:v>150000</c:v>
                </c:pt>
                <c:pt idx="13">
                  <c:v>160000</c:v>
                </c:pt>
                <c:pt idx="14">
                  <c:v>170000</c:v>
                </c:pt>
                <c:pt idx="15">
                  <c:v>180000</c:v>
                </c:pt>
                <c:pt idx="16">
                  <c:v>190000</c:v>
                </c:pt>
                <c:pt idx="17">
                  <c:v>200000</c:v>
                </c:pt>
                <c:pt idx="18">
                  <c:v>210000</c:v>
                </c:pt>
                <c:pt idx="19">
                  <c:v>More</c:v>
                </c:pt>
              </c:strCache>
            </c:strRef>
          </c:cat>
          <c:val>
            <c:numRef>
              <c:f>Histogram!$B$2:$B$21</c:f>
              <c:numCache>
                <c:formatCode>General</c:formatCode>
                <c:ptCount val="20"/>
                <c:pt idx="0">
                  <c:v>47</c:v>
                </c:pt>
                <c:pt idx="1">
                  <c:v>76</c:v>
                </c:pt>
                <c:pt idx="2">
                  <c:v>46</c:v>
                </c:pt>
                <c:pt idx="3">
                  <c:v>75</c:v>
                </c:pt>
                <c:pt idx="4">
                  <c:v>54</c:v>
                </c:pt>
                <c:pt idx="5">
                  <c:v>24</c:v>
                </c:pt>
                <c:pt idx="6">
                  <c:v>38</c:v>
                </c:pt>
                <c:pt idx="7">
                  <c:v>6</c:v>
                </c:pt>
                <c:pt idx="8">
                  <c:v>3</c:v>
                </c:pt>
                <c:pt idx="9">
                  <c:v>1</c:v>
                </c:pt>
                <c:pt idx="10">
                  <c:v>0</c:v>
                </c:pt>
                <c:pt idx="11">
                  <c:v>1</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BA7F-4238-98CF-B8B850489E64}"/>
            </c:ext>
          </c:extLst>
        </c:ser>
        <c:dLbls/>
        <c:axId val="35854592"/>
        <c:axId val="35877248"/>
      </c:barChart>
      <c:catAx>
        <c:axId val="35854592"/>
        <c:scaling>
          <c:orientation val="minMax"/>
        </c:scaling>
        <c:axPos val="b"/>
        <c:title>
          <c:tx>
            <c:rich>
              <a:bodyPr/>
              <a:lstStyle/>
              <a:p>
                <a:pPr>
                  <a:defRPr/>
                </a:pPr>
                <a:r>
                  <a:rPr lang="en-US"/>
                  <a:t>20000</a:t>
                </a:r>
              </a:p>
            </c:rich>
          </c:tx>
          <c:layout/>
        </c:title>
        <c:numFmt formatCode="General" sourceLinked="1"/>
        <c:tickLblPos val="nextTo"/>
        <c:crossAx val="35877248"/>
        <c:crosses val="autoZero"/>
        <c:auto val="1"/>
        <c:lblAlgn val="ctr"/>
        <c:lblOffset val="100"/>
      </c:catAx>
      <c:valAx>
        <c:axId val="35877248"/>
        <c:scaling>
          <c:orientation val="minMax"/>
        </c:scaling>
        <c:axPos val="l"/>
        <c:title>
          <c:tx>
            <c:rich>
              <a:bodyPr/>
              <a:lstStyle/>
              <a:p>
                <a:pPr>
                  <a:defRPr/>
                </a:pPr>
                <a:r>
                  <a:rPr lang="en-US"/>
                  <a:t>Frequency</a:t>
                </a:r>
              </a:p>
            </c:rich>
          </c:tx>
          <c:layout/>
        </c:title>
        <c:numFmt formatCode="General" sourceLinked="1"/>
        <c:tickLblPos val="nextTo"/>
        <c:crossAx val="35854592"/>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19050</xdr:rowOff>
    </xdr:from>
    <xdr:to>
      <xdr:col>13</xdr:col>
      <xdr:colOff>428625</xdr:colOff>
      <xdr:row>27</xdr:row>
      <xdr:rowOff>66675</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90500" y="374650"/>
          <a:ext cx="8988425" cy="449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Short Essay </a:t>
          </a:r>
          <a:endParaRPr lang="en-US" sz="1100" b="0">
            <a:solidFill>
              <a:schemeClr val="dk1"/>
            </a:solidFill>
            <a:effectLst/>
            <a:latin typeface="+mn-lt"/>
            <a:ea typeface="+mn-ea"/>
            <a:cs typeface="+mn-cs"/>
          </a:endParaRPr>
        </a:p>
        <a:p>
          <a:r>
            <a:rPr lang="en-US" sz="1100" b="0" baseline="0">
              <a:solidFill>
                <a:schemeClr val="dk1"/>
              </a:solidFill>
              <a:effectLst/>
              <a:latin typeface="+mn-lt"/>
              <a:ea typeface="+mn-ea"/>
              <a:cs typeface="+mn-cs"/>
            </a:rPr>
            <a:t>          </a:t>
          </a:r>
          <a:r>
            <a:rPr lang="en-US" sz="1100">
              <a:solidFill>
                <a:schemeClr val="dk1"/>
              </a:solidFill>
              <a:effectLst/>
              <a:latin typeface="+mn-lt"/>
              <a:ea typeface="+mn-ea"/>
              <a:cs typeface="+mn-cs"/>
            </a:rPr>
            <a:t>Salary distribution among the company’s employees is bimodal, with most employees earning a salary of between $31,000 to $40,000 or $51,000 to $60,000. It is bimodal since salary distribution do not follow a single pattern. Average salary for the company’s employees is $53,115, with an average hourly rate of $26. On average, employees serve in the company for a period of 7 years with the average age of employees being 35 years. Based on the analysis, the standard deviation of employees’ salary is 21,711.9 which is a significant deviation from the mean salary which is $53,115. This shows the high rate of disparity between lowest paid employees and highest paid employees. The same is reflected in the standard deviation of hourly rate, which stands at 10, a huge deviation from mean hourly rate of payment which is $26. It is usually important to ensure the deviation from the mean is not so huge since it can lead to organizational conflicts and reduced employee morale due to unfair treatment with regard to salaries and remuneration. Good human resources practices should be adopted to ensure effective formulation of compensations and benefits packages to address the need of each and every employee of the company. </a:t>
          </a:r>
        </a:p>
        <a:p>
          <a:r>
            <a:rPr lang="en-US" sz="1100">
              <a:solidFill>
                <a:schemeClr val="dk1"/>
              </a:solidFill>
              <a:effectLst/>
              <a:latin typeface="+mn-lt"/>
              <a:ea typeface="+mn-ea"/>
              <a:cs typeface="+mn-cs"/>
            </a:rPr>
            <a:t>          There is also a significantly big range between the highest and lowest paid employee, with the highest employee getting a salary of $200,210, while the lowest only tales home $15,182 per year. The total expenditures in terms of salaries and benefits amounts to $19,758,742. To investigate further to determine whether my results could be perceived as good or bad for the company, I would compare the company’s revenues with its expenditures. This would help in determining the firm’s profitability thus helping in making inferences where it is heading in the right direction or not. </a:t>
          </a:r>
        </a:p>
        <a:p>
          <a:r>
            <a:rPr lang="en-US" sz="1100">
              <a:solidFill>
                <a:schemeClr val="dk1"/>
              </a:solidFill>
              <a:effectLst/>
              <a:latin typeface="+mn-lt"/>
              <a:ea typeface="+mn-ea"/>
              <a:cs typeface="+mn-cs"/>
            </a:rPr>
            <a:t>           In terms of racial composition of the company’s employees, Caucasians lead with an approximately 90% of the organization’s workforce being Caucasian. African Americans follow which a percentage of 38.25% of the overall employee population. Hispanics and Asians follow respectively with a percentage of 9.96 and 9.56. With regard to gender, male employees dominate the organization’s workforce with approximately 80% of the total employee population being male. The level of education of the company’s employees is slightly below with majority of employees’ highest level of education being high school, accounting for 57% of the total employee population. Employees with Bachelor’s degree account for 25% of the total population and those with Master’s degree account for only 7.26% of the total workforce. I think the company has done less with regard to workforce diversity. Racial composition as well as the composition of gender within the company’s workforce indicate lack of workforce diversity.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histogram is bimodal. We have two data peaks with frequencies of 76 and 75 respectively which makes the histogram bimodal. This implies that there are two different groups of employees in the organization with two sets of salaries. Based on the computation, projected percentage growth for next year would be 64%. The average growth rate with regard to sales is $2,364,529.41 which means that it is projected that the company’s sales would grow by a rate of 64% since its current sales revenue is $3,702,000.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152400</xdr:rowOff>
    </xdr:from>
    <xdr:to>
      <xdr:col>6</xdr:col>
      <xdr:colOff>209550</xdr:colOff>
      <xdr:row>16</xdr:row>
      <xdr:rowOff>38100</xdr:rowOff>
    </xdr:to>
    <xdr:graphicFrame macro="">
      <xdr:nvGraphicFramePr>
        <xdr:cNvPr id="2" name="Chart 1">
          <a:extLst>
            <a:ext uri="{FF2B5EF4-FFF2-40B4-BE49-F238E27FC236}">
              <a16:creationId xmlns="" xmlns:a16="http://schemas.microsoft.com/office/drawing/2014/main" id="{3DF0F73A-7B8D-453F-8282-68F1DF7D3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333375</xdr:colOff>
      <xdr:row>1</xdr:row>
      <xdr:rowOff>171450</xdr:rowOff>
    </xdr:from>
    <xdr:to>
      <xdr:col>13</xdr:col>
      <xdr:colOff>38100</xdr:colOff>
      <xdr:row>16</xdr:row>
      <xdr:rowOff>57150</xdr:rowOff>
    </xdr:to>
    <xdr:graphicFrame macro="">
      <xdr:nvGraphicFramePr>
        <xdr:cNvPr id="3" name="Chart 2">
          <a:extLst>
            <a:ext uri="{FF2B5EF4-FFF2-40B4-BE49-F238E27FC236}">
              <a16:creationId xmlns="" xmlns:a16="http://schemas.microsoft.com/office/drawing/2014/main" id="{C6DC1B7D-EF1A-4B13-8FFF-87169F338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133350</xdr:colOff>
      <xdr:row>2</xdr:row>
      <xdr:rowOff>0</xdr:rowOff>
    </xdr:from>
    <xdr:to>
      <xdr:col>19</xdr:col>
      <xdr:colOff>409575</xdr:colOff>
      <xdr:row>16</xdr:row>
      <xdr:rowOff>76200</xdr:rowOff>
    </xdr:to>
    <xdr:graphicFrame macro="">
      <xdr:nvGraphicFramePr>
        <xdr:cNvPr id="4" name="Chart 3">
          <a:extLst>
            <a:ext uri="{FF2B5EF4-FFF2-40B4-BE49-F238E27FC236}">
              <a16:creationId xmlns="" xmlns:a16="http://schemas.microsoft.com/office/drawing/2014/main" id="{C5E79428-F9AC-46C3-8353-3573AEA5E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xdr:colOff>
      <xdr:row>17</xdr:row>
      <xdr:rowOff>161925</xdr:rowOff>
    </xdr:from>
    <xdr:to>
      <xdr:col>9</xdr:col>
      <xdr:colOff>28575</xdr:colOff>
      <xdr:row>32</xdr:row>
      <xdr:rowOff>47625</xdr:rowOff>
    </xdr:to>
    <xdr:graphicFrame macro="">
      <xdr:nvGraphicFramePr>
        <xdr:cNvPr id="5" name="Chart 4">
          <a:extLst>
            <a:ext uri="{FF2B5EF4-FFF2-40B4-BE49-F238E27FC236}">
              <a16:creationId xmlns="" xmlns:a16="http://schemas.microsoft.com/office/drawing/2014/main" id="{5509E1A6-8E1E-4EEA-8105-59C9252C8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323850</xdr:colOff>
      <xdr:row>17</xdr:row>
      <xdr:rowOff>161925</xdr:rowOff>
    </xdr:from>
    <xdr:to>
      <xdr:col>17</xdr:col>
      <xdr:colOff>19050</xdr:colOff>
      <xdr:row>32</xdr:row>
      <xdr:rowOff>47625</xdr:rowOff>
    </xdr:to>
    <xdr:graphicFrame macro="">
      <xdr:nvGraphicFramePr>
        <xdr:cNvPr id="6" name="Chart 5">
          <a:extLst>
            <a:ext uri="{FF2B5EF4-FFF2-40B4-BE49-F238E27FC236}">
              <a16:creationId xmlns="" xmlns:a16="http://schemas.microsoft.com/office/drawing/2014/main" id="{16AEF87E-7A7D-47E7-A1F6-1071B0597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266700</xdr:colOff>
      <xdr:row>33</xdr:row>
      <xdr:rowOff>47625</xdr:rowOff>
    </xdr:from>
    <xdr:to>
      <xdr:col>14</xdr:col>
      <xdr:colOff>581025</xdr:colOff>
      <xdr:row>52</xdr:row>
      <xdr:rowOff>152399</xdr:rowOff>
    </xdr:to>
    <xdr:graphicFrame macro="">
      <xdr:nvGraphicFramePr>
        <xdr:cNvPr id="7" name="Chart 6">
          <a:extLst>
            <a:ext uri="{FF2B5EF4-FFF2-40B4-BE49-F238E27FC236}">
              <a16:creationId xmlns="" xmlns:a16="http://schemas.microsoft.com/office/drawing/2014/main" id="{D116F0E7-D670-4D39-914E-37C20D667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0</xdr:row>
      <xdr:rowOff>180973</xdr:rowOff>
    </xdr:from>
    <xdr:to>
      <xdr:col>15</xdr:col>
      <xdr:colOff>581025</xdr:colOff>
      <xdr:row>21</xdr:row>
      <xdr:rowOff>95249</xdr:rowOff>
    </xdr:to>
    <xdr:graphicFrame macro="">
      <xdr:nvGraphicFramePr>
        <xdr:cNvPr id="2" name="Chart 1">
          <a:extLst>
            <a:ext uri="{FF2B5EF4-FFF2-40B4-BE49-F238E27FC236}">
              <a16:creationId xmlns="" xmlns:a16="http://schemas.microsoft.com/office/drawing/2014/main" id="{0D995507-7918-4545-841C-D35E6780BC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row r="1" spans="1:1">
      <c r="A1" t="s">
        <v>93</v>
      </c>
    </row>
  </sheetData>
  <pageMargins left="0.25" right="0.25" top="0.75" bottom="0.75" header="0.3" footer="0.3"/>
  <pageSetup orientation="landscape" verticalDpi="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O446"/>
  <sheetViews>
    <sheetView topLeftCell="A422" zoomScale="110" zoomScaleNormal="110" zoomScalePageLayoutView="110" workbookViewId="0">
      <selection activeCell="K410" sqref="K410"/>
    </sheetView>
  </sheetViews>
  <sheetFormatPr defaultColWidth="8.85546875" defaultRowHeight="15" outlineLevelCol="1"/>
  <cols>
    <col min="1" max="1" width="12.28515625" style="1" customWidth="1"/>
    <col min="2" max="2" width="11.140625" style="1" customWidth="1"/>
    <col min="3" max="3" width="11.85546875" style="1" customWidth="1"/>
    <col min="4" max="4" width="13.42578125" style="1" bestFit="1" customWidth="1" outlineLevel="1"/>
    <col min="5" max="5" width="11.7109375" style="1" customWidth="1"/>
    <col min="6" max="6" width="16.140625" style="1" customWidth="1"/>
    <col min="7" max="7" width="10.140625" style="1" customWidth="1"/>
    <col min="8" max="8" width="9.42578125" style="1" bestFit="1" customWidth="1"/>
    <col min="9" max="9" width="8.85546875" style="1"/>
    <col min="10" max="11" width="9.28515625" style="1" bestFit="1" customWidth="1"/>
    <col min="12" max="12" width="13.7109375" style="1" bestFit="1" customWidth="1"/>
    <col min="13" max="13" width="11.28515625" style="1" customWidth="1"/>
    <col min="14" max="14" width="17.140625" style="1" customWidth="1"/>
    <col min="15" max="15" width="12" style="107" customWidth="1"/>
  </cols>
  <sheetData>
    <row r="1" spans="1:14" ht="15" customHeight="1">
      <c r="A1" s="10" t="s">
        <v>55</v>
      </c>
      <c r="B1" s="10"/>
      <c r="M1" s="10"/>
      <c r="N1" s="10"/>
    </row>
    <row r="2" spans="1:14" ht="15" customHeight="1">
      <c r="A2" s="10"/>
      <c r="B2" s="10"/>
      <c r="M2" s="10"/>
      <c r="N2" s="10"/>
    </row>
    <row r="3" spans="1:14" ht="15" customHeight="1" thickBot="1">
      <c r="A3" s="32" t="s">
        <v>94</v>
      </c>
      <c r="B3" s="32"/>
      <c r="C3" s="30"/>
      <c r="D3" s="30"/>
      <c r="E3" s="30"/>
      <c r="F3" s="30"/>
      <c r="G3" s="30"/>
      <c r="H3" s="30"/>
      <c r="I3" s="30"/>
      <c r="J3" s="30"/>
      <c r="K3" s="30"/>
      <c r="L3" s="30"/>
      <c r="M3" s="33"/>
      <c r="N3" s="33"/>
    </row>
    <row r="4" spans="1:14" ht="15" customHeight="1">
      <c r="A4" s="23"/>
      <c r="B4" s="23"/>
      <c r="F4" s="104"/>
      <c r="M4" s="10"/>
      <c r="N4" s="10"/>
    </row>
    <row r="5" spans="1:14" ht="15" customHeight="1">
      <c r="A5" s="49" t="s">
        <v>58</v>
      </c>
      <c r="B5" s="49"/>
      <c r="C5" s="50"/>
      <c r="D5" s="50"/>
      <c r="E5" s="50"/>
      <c r="F5" s="50"/>
      <c r="G5" s="50"/>
      <c r="H5" s="50"/>
      <c r="I5" s="50"/>
      <c r="J5" s="50"/>
      <c r="K5" s="50"/>
      <c r="L5" s="50"/>
      <c r="M5" s="50"/>
      <c r="N5" s="50"/>
    </row>
    <row r="6" spans="1:14" ht="15" customHeight="1">
      <c r="A6" s="51" t="s">
        <v>59</v>
      </c>
      <c r="B6" s="51" t="s">
        <v>62</v>
      </c>
      <c r="C6" s="51" t="s">
        <v>60</v>
      </c>
      <c r="D6" s="51" t="s">
        <v>61</v>
      </c>
      <c r="E6" s="51" t="s">
        <v>61</v>
      </c>
      <c r="F6" s="51" t="s">
        <v>59</v>
      </c>
      <c r="G6" s="51" t="s">
        <v>60</v>
      </c>
      <c r="H6" s="51" t="s">
        <v>59</v>
      </c>
      <c r="I6" s="51" t="s">
        <v>59</v>
      </c>
      <c r="J6" s="51" t="s">
        <v>59</v>
      </c>
      <c r="K6" s="51" t="s">
        <v>59</v>
      </c>
      <c r="L6" s="51" t="s">
        <v>59</v>
      </c>
      <c r="M6" s="51" t="s">
        <v>60</v>
      </c>
      <c r="N6" s="51" t="s">
        <v>60</v>
      </c>
    </row>
    <row r="7" spans="1:14" ht="15" customHeight="1">
      <c r="A7" s="51"/>
      <c r="B7" s="51" t="s">
        <v>63</v>
      </c>
      <c r="C7" s="51"/>
      <c r="D7" s="51"/>
      <c r="E7" s="51"/>
      <c r="F7" s="51"/>
      <c r="G7" s="51"/>
      <c r="H7" s="51"/>
      <c r="I7" s="51"/>
      <c r="J7" s="51"/>
      <c r="K7" s="51"/>
      <c r="L7" s="51"/>
      <c r="M7" s="51"/>
      <c r="N7" s="51"/>
    </row>
    <row r="8" spans="1:14" ht="15" customHeight="1">
      <c r="A8" s="50"/>
      <c r="B8" s="50"/>
      <c r="C8" s="50"/>
      <c r="D8" s="50"/>
      <c r="E8" s="50"/>
      <c r="F8" s="52" t="s">
        <v>66</v>
      </c>
      <c r="G8" s="52" t="s">
        <v>67</v>
      </c>
      <c r="H8" s="50"/>
      <c r="I8" s="50"/>
      <c r="J8" s="50"/>
      <c r="K8" s="50"/>
      <c r="L8" s="50"/>
      <c r="M8" s="50"/>
      <c r="N8" s="50"/>
    </row>
    <row r="9" spans="1:14">
      <c r="A9" s="53"/>
      <c r="B9" s="53"/>
      <c r="C9" s="53"/>
      <c r="D9" s="54"/>
      <c r="E9" s="55"/>
      <c r="F9" s="56">
        <v>42004</v>
      </c>
      <c r="G9" s="57">
        <v>10</v>
      </c>
      <c r="H9" s="58"/>
      <c r="I9" s="53"/>
      <c r="J9" s="53"/>
      <c r="K9" s="53"/>
      <c r="L9" s="53"/>
      <c r="M9" s="53"/>
      <c r="N9" s="53"/>
    </row>
    <row r="10" spans="1:14" ht="15.75" thickBot="1">
      <c r="A10" s="59" t="s">
        <v>0</v>
      </c>
      <c r="B10" s="59" t="s">
        <v>10</v>
      </c>
      <c r="C10" s="59" t="s">
        <v>11</v>
      </c>
      <c r="D10" s="70" t="s">
        <v>1</v>
      </c>
      <c r="E10" s="60" t="s">
        <v>2</v>
      </c>
      <c r="F10" s="60" t="s">
        <v>3</v>
      </c>
      <c r="G10" s="59" t="s">
        <v>7</v>
      </c>
      <c r="H10" s="61" t="s">
        <v>6</v>
      </c>
      <c r="I10" s="60" t="s">
        <v>65</v>
      </c>
      <c r="J10" s="59" t="s">
        <v>4</v>
      </c>
      <c r="K10" s="59" t="s">
        <v>5</v>
      </c>
      <c r="L10" s="59" t="s">
        <v>8</v>
      </c>
      <c r="M10" s="59" t="s">
        <v>49</v>
      </c>
      <c r="N10" s="60" t="s">
        <v>47</v>
      </c>
    </row>
    <row r="11" spans="1:14" ht="15.75">
      <c r="A11" s="62">
        <v>1001</v>
      </c>
      <c r="B11" s="63">
        <v>36234</v>
      </c>
      <c r="C11" s="64" t="s">
        <v>21</v>
      </c>
      <c r="D11" s="97">
        <v>200210</v>
      </c>
      <c r="E11" s="80">
        <f>D11/Annual_Hrs</f>
        <v>96.254807692307693</v>
      </c>
      <c r="F11" s="68">
        <f>ROUND(YEARFRAC(B11,F9),0)</f>
        <v>16</v>
      </c>
      <c r="G11" s="73">
        <v>19</v>
      </c>
      <c r="H11" s="74">
        <v>56</v>
      </c>
      <c r="I11" s="65" t="str">
        <f>IF(F11&gt;=10,"Yes","No")</f>
        <v>Yes</v>
      </c>
      <c r="J11" s="66">
        <v>3</v>
      </c>
      <c r="K11" s="66">
        <v>1</v>
      </c>
      <c r="L11" s="66">
        <v>2</v>
      </c>
      <c r="M11" s="50" t="s">
        <v>51</v>
      </c>
      <c r="N11" s="50" t="str">
        <f>VLOOKUP(M11,F417:G420,2,FALSE)</f>
        <v>Northeast</v>
      </c>
    </row>
    <row r="12" spans="1:14" ht="15.75">
      <c r="A12" s="62">
        <v>1002</v>
      </c>
      <c r="B12" s="63">
        <v>36509</v>
      </c>
      <c r="C12" s="64" t="s">
        <v>15</v>
      </c>
      <c r="D12" s="97">
        <v>79723</v>
      </c>
      <c r="E12" s="80">
        <f t="shared" ref="E12:E75" si="0">D12/Annual_Hrs</f>
        <v>38.328365384615381</v>
      </c>
      <c r="F12" s="68">
        <f>ROUND(YEARFRAC(B12,F9),0)</f>
        <v>15</v>
      </c>
      <c r="G12" s="73">
        <v>16</v>
      </c>
      <c r="H12" s="74">
        <v>45</v>
      </c>
      <c r="I12" s="65" t="str">
        <f>IF(F12&gt;=10,"Yes","No")</f>
        <v>Yes</v>
      </c>
      <c r="J12" s="66">
        <v>3</v>
      </c>
      <c r="K12" s="66">
        <v>1</v>
      </c>
      <c r="L12" s="66">
        <v>2</v>
      </c>
      <c r="M12" s="50" t="s">
        <v>51</v>
      </c>
      <c r="N12" s="50" t="str">
        <f>VLOOKUP(M12,F418:G421,2,FALSE)</f>
        <v>Northeast</v>
      </c>
    </row>
    <row r="13" spans="1:14" ht="15.75">
      <c r="A13" s="62">
        <v>1003</v>
      </c>
      <c r="B13" s="63">
        <v>41159</v>
      </c>
      <c r="C13" s="64" t="s">
        <v>18</v>
      </c>
      <c r="D13" s="97">
        <v>66750</v>
      </c>
      <c r="E13" s="80">
        <f t="shared" si="0"/>
        <v>32.091346153846153</v>
      </c>
      <c r="F13" s="68">
        <f>ROUND(YEARFRAC(B13,F9),0)</f>
        <v>2</v>
      </c>
      <c r="G13" s="73">
        <v>12</v>
      </c>
      <c r="H13" s="74">
        <v>29</v>
      </c>
      <c r="I13" s="65"/>
      <c r="J13" s="66">
        <v>1</v>
      </c>
      <c r="K13" s="66">
        <v>1</v>
      </c>
      <c r="L13" s="66">
        <v>1</v>
      </c>
      <c r="M13" s="50" t="s">
        <v>52</v>
      </c>
      <c r="N13" s="50" t="str">
        <f>VLOOKUP(M13,F419:G422,2,FALSE)</f>
        <v>Midwest</v>
      </c>
    </row>
    <row r="14" spans="1:14" ht="15.75">
      <c r="A14" s="62">
        <v>1004</v>
      </c>
      <c r="B14" s="63">
        <v>41073</v>
      </c>
      <c r="C14" s="64" t="s">
        <v>12</v>
      </c>
      <c r="D14" s="97">
        <v>31924</v>
      </c>
      <c r="E14" s="80">
        <f t="shared" si="0"/>
        <v>15.348076923076922</v>
      </c>
      <c r="F14" s="68">
        <f>ROUND(YEARFRAC(B14,F9),0)</f>
        <v>3</v>
      </c>
      <c r="G14" s="73">
        <v>12</v>
      </c>
      <c r="H14" s="74">
        <v>24</v>
      </c>
      <c r="I14" s="65"/>
      <c r="J14" s="66">
        <v>3</v>
      </c>
      <c r="K14" s="66">
        <v>1</v>
      </c>
      <c r="L14" s="66">
        <v>2</v>
      </c>
      <c r="M14" s="50" t="s">
        <v>48</v>
      </c>
      <c r="N14" s="50" t="str">
        <f>VLOOKUP(M14,F420:G423,2,FALSE)</f>
        <v>C-Plains</v>
      </c>
    </row>
    <row r="15" spans="1:14" ht="15.75">
      <c r="A15" s="62">
        <v>1005</v>
      </c>
      <c r="B15" s="63">
        <v>39746</v>
      </c>
      <c r="C15" s="64" t="s">
        <v>12</v>
      </c>
      <c r="D15" s="97">
        <v>42687</v>
      </c>
      <c r="E15" s="80">
        <f t="shared" si="0"/>
        <v>20.522596153846155</v>
      </c>
      <c r="F15" s="68">
        <f>ROUND(YEARFRAC(B15,F9),0)</f>
        <v>6</v>
      </c>
      <c r="G15" s="73">
        <v>14</v>
      </c>
      <c r="H15" s="74">
        <v>35</v>
      </c>
      <c r="I15" s="65"/>
      <c r="J15" s="66">
        <v>3</v>
      </c>
      <c r="K15" s="66">
        <v>1</v>
      </c>
      <c r="L15" s="66">
        <v>1</v>
      </c>
      <c r="M15" s="50" t="s">
        <v>51</v>
      </c>
      <c r="N15" s="50" t="str">
        <f>VLOOKUP(M15,F417:G420,2,FALSE)</f>
        <v>Northeast</v>
      </c>
    </row>
    <row r="16" spans="1:14" ht="15.75">
      <c r="A16" s="62">
        <v>1006</v>
      </c>
      <c r="B16" s="63">
        <v>38934</v>
      </c>
      <c r="C16" s="64" t="s">
        <v>12</v>
      </c>
      <c r="D16" s="97">
        <v>50307</v>
      </c>
      <c r="E16" s="80">
        <f t="shared" si="0"/>
        <v>24.186057692307692</v>
      </c>
      <c r="F16" s="68">
        <f>ROUND(YEARFRAC(B16,F9),0)</f>
        <v>8</v>
      </c>
      <c r="G16" s="73">
        <v>14</v>
      </c>
      <c r="H16" s="74">
        <v>41</v>
      </c>
      <c r="I16" s="65"/>
      <c r="J16" s="66">
        <v>3</v>
      </c>
      <c r="K16" s="66">
        <v>1</v>
      </c>
      <c r="L16" s="66">
        <v>1</v>
      </c>
      <c r="M16" s="50" t="s">
        <v>52</v>
      </c>
      <c r="N16" s="50" t="str">
        <f>VLOOKUP(M16,F417:G420,2,FALSE)</f>
        <v>Midwest</v>
      </c>
    </row>
    <row r="17" spans="1:14" ht="15.75">
      <c r="A17" s="62">
        <v>1014</v>
      </c>
      <c r="B17" s="63">
        <v>39967</v>
      </c>
      <c r="C17" s="64" t="s">
        <v>34</v>
      </c>
      <c r="D17" s="97">
        <v>87818</v>
      </c>
      <c r="E17" s="80">
        <f t="shared" si="0"/>
        <v>42.220192307692308</v>
      </c>
      <c r="F17" s="68">
        <f>ROUND(YEARFRAC(B17,F9),0)</f>
        <v>6</v>
      </c>
      <c r="G17" s="73">
        <v>16</v>
      </c>
      <c r="H17" s="74">
        <v>40</v>
      </c>
      <c r="I17" s="65"/>
      <c r="J17" s="66">
        <v>4</v>
      </c>
      <c r="K17" s="66">
        <v>2</v>
      </c>
      <c r="L17" s="66">
        <v>1</v>
      </c>
      <c r="M17" s="50" t="s">
        <v>52</v>
      </c>
      <c r="N17" s="50" t="str">
        <f>VLOOKUP(M17,F417:G420,2,FALSE)</f>
        <v>Midwest</v>
      </c>
    </row>
    <row r="18" spans="1:14" ht="15.75">
      <c r="A18" s="62">
        <v>1015</v>
      </c>
      <c r="B18" s="63">
        <v>41463</v>
      </c>
      <c r="C18" s="64" t="s">
        <v>29</v>
      </c>
      <c r="D18" s="97">
        <v>31250</v>
      </c>
      <c r="E18" s="80">
        <f t="shared" si="0"/>
        <v>15.024038461538462</v>
      </c>
      <c r="F18" s="68">
        <f>ROUND(YEARFRAC(B18,F9),0)</f>
        <v>1</v>
      </c>
      <c r="G18" s="73">
        <v>14</v>
      </c>
      <c r="H18" s="74">
        <v>26</v>
      </c>
      <c r="I18" s="65"/>
      <c r="J18" s="66">
        <v>3</v>
      </c>
      <c r="K18" s="66">
        <v>1</v>
      </c>
      <c r="L18" s="66">
        <v>2</v>
      </c>
      <c r="M18" s="50" t="s">
        <v>51</v>
      </c>
      <c r="N18" s="50" t="str">
        <f>VLOOKUP(M18,F417:G420,2,FALSE)</f>
        <v>Northeast</v>
      </c>
    </row>
    <row r="19" spans="1:14" ht="15.75">
      <c r="A19" s="62">
        <v>1016</v>
      </c>
      <c r="B19" s="63">
        <v>39714</v>
      </c>
      <c r="C19" s="64" t="s">
        <v>12</v>
      </c>
      <c r="D19" s="97">
        <v>42719</v>
      </c>
      <c r="E19" s="80">
        <f t="shared" si="0"/>
        <v>20.537980769230771</v>
      </c>
      <c r="F19" s="68">
        <f>ROUND(YEARFRAC(B19,F9),0)</f>
        <v>6</v>
      </c>
      <c r="G19" s="73">
        <v>12</v>
      </c>
      <c r="H19" s="74">
        <v>35</v>
      </c>
      <c r="I19" s="65"/>
      <c r="J19" s="66">
        <v>3</v>
      </c>
      <c r="K19" s="66">
        <v>1</v>
      </c>
      <c r="L19" s="66">
        <v>2</v>
      </c>
      <c r="M19" s="50" t="s">
        <v>48</v>
      </c>
      <c r="N19" s="50" t="str">
        <f>VLOOKUP(M19,F417:G420,2,FALSE)</f>
        <v>C-Plains</v>
      </c>
    </row>
    <row r="20" spans="1:14" ht="15.75">
      <c r="A20" s="62">
        <v>1018</v>
      </c>
      <c r="B20" s="63">
        <v>40558</v>
      </c>
      <c r="C20" s="64" t="s">
        <v>27</v>
      </c>
      <c r="D20" s="97">
        <v>42836</v>
      </c>
      <c r="E20" s="80">
        <f t="shared" si="0"/>
        <v>20.594230769230769</v>
      </c>
      <c r="F20" s="68">
        <f>ROUND(YEARFRAC(B20,F9),0)</f>
        <v>4</v>
      </c>
      <c r="G20" s="73">
        <v>16</v>
      </c>
      <c r="H20" s="74">
        <v>32</v>
      </c>
      <c r="I20" s="65"/>
      <c r="J20" s="66">
        <v>3</v>
      </c>
      <c r="K20" s="66">
        <v>2</v>
      </c>
      <c r="L20" s="66">
        <v>2</v>
      </c>
      <c r="M20" s="50" t="s">
        <v>51</v>
      </c>
      <c r="N20" s="50" t="str">
        <f>VLOOKUP(M20,F417:G420,2,FALSE)</f>
        <v>Northeast</v>
      </c>
    </row>
    <row r="21" spans="1:14" ht="15.75">
      <c r="A21" s="62">
        <v>1018</v>
      </c>
      <c r="B21" s="63">
        <v>41032</v>
      </c>
      <c r="C21" s="64" t="s">
        <v>12</v>
      </c>
      <c r="D21" s="97">
        <v>32157</v>
      </c>
      <c r="E21" s="80">
        <f t="shared" si="0"/>
        <v>15.460096153846154</v>
      </c>
      <c r="F21" s="68">
        <f>ROUND(YEARFRAC(B21,F9),0)</f>
        <v>3</v>
      </c>
      <c r="G21" s="73">
        <v>12</v>
      </c>
      <c r="H21" s="74">
        <v>24</v>
      </c>
      <c r="I21" s="65"/>
      <c r="J21" s="66">
        <v>3</v>
      </c>
      <c r="K21" s="66">
        <v>2</v>
      </c>
      <c r="L21" s="66">
        <v>1</v>
      </c>
      <c r="M21" s="50" t="s">
        <v>48</v>
      </c>
      <c r="N21" s="50" t="str">
        <f>VLOOKUP(M21,F417:G420,2,FALSE)</f>
        <v>C-Plains</v>
      </c>
    </row>
    <row r="22" spans="1:14" ht="15.75">
      <c r="A22" s="62">
        <v>1019</v>
      </c>
      <c r="B22" s="63">
        <v>39223</v>
      </c>
      <c r="C22" s="64" t="s">
        <v>12</v>
      </c>
      <c r="D22" s="97">
        <v>48317</v>
      </c>
      <c r="E22" s="80">
        <f t="shared" si="0"/>
        <v>23.229326923076922</v>
      </c>
      <c r="F22" s="68">
        <f>ROUND(YEARFRAC(B22,F9),0)</f>
        <v>8</v>
      </c>
      <c r="G22" s="73">
        <v>12</v>
      </c>
      <c r="H22" s="74">
        <v>38</v>
      </c>
      <c r="I22" s="65"/>
      <c r="J22" s="66">
        <v>3</v>
      </c>
      <c r="K22" s="66">
        <v>1</v>
      </c>
      <c r="L22" s="66">
        <v>1</v>
      </c>
      <c r="M22" s="50" t="s">
        <v>48</v>
      </c>
      <c r="N22" s="50" t="str">
        <f>VLOOKUP(M22,F417:G420,2,FALSE)</f>
        <v>C-Plains</v>
      </c>
    </row>
    <row r="23" spans="1:14" ht="15.75">
      <c r="A23" s="62">
        <v>1024</v>
      </c>
      <c r="B23" s="63">
        <v>40772</v>
      </c>
      <c r="C23" s="64" t="s">
        <v>12</v>
      </c>
      <c r="D23" s="97">
        <v>33005</v>
      </c>
      <c r="E23" s="80">
        <f t="shared" si="0"/>
        <v>15.867788461538462</v>
      </c>
      <c r="F23" s="68">
        <f>ROUND(YEARFRAC(B23,F9),0)</f>
        <v>3</v>
      </c>
      <c r="G23" s="73">
        <v>12</v>
      </c>
      <c r="H23" s="74">
        <v>26</v>
      </c>
      <c r="I23" s="65"/>
      <c r="J23" s="66">
        <v>3</v>
      </c>
      <c r="K23" s="66">
        <v>1</v>
      </c>
      <c r="L23" s="66">
        <v>1</v>
      </c>
      <c r="M23" s="50" t="s">
        <v>52</v>
      </c>
      <c r="N23" s="50" t="str">
        <f>VLOOKUP(M23,F417:G420,2,FALSE)</f>
        <v>Midwest</v>
      </c>
    </row>
    <row r="24" spans="1:14" ht="15.75">
      <c r="A24" s="62">
        <v>1036</v>
      </c>
      <c r="B24" s="63">
        <v>36794</v>
      </c>
      <c r="C24" s="64" t="s">
        <v>12</v>
      </c>
      <c r="D24" s="97">
        <v>57822</v>
      </c>
      <c r="E24" s="80">
        <f t="shared" si="0"/>
        <v>27.799038461538462</v>
      </c>
      <c r="F24" s="68">
        <f>ROUND(YEARFRAC(B24,F9),0)</f>
        <v>14</v>
      </c>
      <c r="G24" s="73">
        <v>16</v>
      </c>
      <c r="H24" s="74">
        <v>51</v>
      </c>
      <c r="I24" s="65" t="str">
        <f>IF(F24&gt;=10,"Yes","No")</f>
        <v>Yes</v>
      </c>
      <c r="J24" s="66">
        <v>2</v>
      </c>
      <c r="K24" s="66">
        <v>1</v>
      </c>
      <c r="L24" s="66">
        <v>1</v>
      </c>
      <c r="M24" s="50" t="s">
        <v>48</v>
      </c>
      <c r="N24" s="50" t="str">
        <f>VLOOKUP(M24,F417:G420,2,FALSE)</f>
        <v>C-Plains</v>
      </c>
    </row>
    <row r="25" spans="1:14" ht="15.75">
      <c r="A25" s="62">
        <v>1038</v>
      </c>
      <c r="B25" s="63">
        <v>41142</v>
      </c>
      <c r="C25" s="64" t="s">
        <v>34</v>
      </c>
      <c r="D25" s="97">
        <v>65451</v>
      </c>
      <c r="E25" s="80">
        <f t="shared" si="0"/>
        <v>31.466826923076923</v>
      </c>
      <c r="F25" s="68">
        <f>ROUND(YEARFRAC(B25,F9),0)</f>
        <v>2</v>
      </c>
      <c r="G25" s="73">
        <v>16</v>
      </c>
      <c r="H25" s="74">
        <v>32</v>
      </c>
      <c r="I25" s="65"/>
      <c r="J25" s="66">
        <v>2</v>
      </c>
      <c r="K25" s="66">
        <v>1</v>
      </c>
      <c r="L25" s="66">
        <v>1</v>
      </c>
      <c r="M25" s="50" t="s">
        <v>51</v>
      </c>
      <c r="N25" s="50" t="str">
        <f>VLOOKUP(M25,F417:G420,2,FALSE)</f>
        <v>Northeast</v>
      </c>
    </row>
    <row r="26" spans="1:14" ht="15.75">
      <c r="A26" s="62">
        <v>1043</v>
      </c>
      <c r="B26" s="63">
        <v>39982</v>
      </c>
      <c r="C26" s="64" t="s">
        <v>13</v>
      </c>
      <c r="D26" s="97">
        <v>26168</v>
      </c>
      <c r="E26" s="80">
        <f t="shared" si="0"/>
        <v>12.580769230769231</v>
      </c>
      <c r="F26" s="68">
        <f>ROUND(YEARFRAC(B26,F9),0)</f>
        <v>6</v>
      </c>
      <c r="G26" s="73">
        <v>12</v>
      </c>
      <c r="H26" s="74">
        <v>27</v>
      </c>
      <c r="I26" s="65"/>
      <c r="J26" s="66">
        <v>3</v>
      </c>
      <c r="K26" s="66">
        <v>1</v>
      </c>
      <c r="L26" s="66">
        <v>1</v>
      </c>
      <c r="M26" s="50" t="s">
        <v>52</v>
      </c>
      <c r="N26" s="50" t="str">
        <f>VLOOKUP(M26,F417:G420,2,FALSE)</f>
        <v>Midwest</v>
      </c>
    </row>
    <row r="27" spans="1:14" ht="15.75">
      <c r="A27" s="62">
        <v>1048</v>
      </c>
      <c r="B27" s="63">
        <v>41536</v>
      </c>
      <c r="C27" s="64" t="s">
        <v>20</v>
      </c>
      <c r="D27" s="97">
        <v>31655</v>
      </c>
      <c r="E27" s="80">
        <f t="shared" si="0"/>
        <v>15.21875</v>
      </c>
      <c r="F27" s="68">
        <f>ROUND(YEARFRAC(B27,F9),0)</f>
        <v>1</v>
      </c>
      <c r="G27" s="73">
        <v>12</v>
      </c>
      <c r="H27" s="74">
        <v>20</v>
      </c>
      <c r="I27" s="65"/>
      <c r="J27" s="66">
        <v>1</v>
      </c>
      <c r="K27" s="66">
        <v>2</v>
      </c>
      <c r="L27" s="66">
        <v>2</v>
      </c>
      <c r="M27" s="50" t="s">
        <v>52</v>
      </c>
      <c r="N27" s="50" t="str">
        <f>VLOOKUP(M27,F417:G420,2,FALSE)</f>
        <v>Midwest</v>
      </c>
    </row>
    <row r="28" spans="1:14" ht="15.75">
      <c r="A28" s="62">
        <v>1049</v>
      </c>
      <c r="B28" s="63">
        <v>38040</v>
      </c>
      <c r="C28" s="64" t="s">
        <v>34</v>
      </c>
      <c r="D28" s="97">
        <v>88421</v>
      </c>
      <c r="E28" s="80">
        <f t="shared" si="0"/>
        <v>42.510096153846156</v>
      </c>
      <c r="F28" s="68">
        <f>ROUND(YEARFRAC(B28,F9),0)</f>
        <v>11</v>
      </c>
      <c r="G28" s="73">
        <v>19</v>
      </c>
      <c r="H28" s="74">
        <v>41</v>
      </c>
      <c r="I28" s="65" t="str">
        <f>IF(F28&gt;=10,"Yes","No")</f>
        <v>Yes</v>
      </c>
      <c r="J28" s="66">
        <v>3</v>
      </c>
      <c r="K28" s="66">
        <v>1</v>
      </c>
      <c r="L28" s="66">
        <v>1</v>
      </c>
      <c r="M28" s="50" t="s">
        <v>51</v>
      </c>
      <c r="N28" s="50" t="str">
        <f>VLOOKUP(M28,F417:G420,2,FALSE)</f>
        <v>Northeast</v>
      </c>
    </row>
    <row r="29" spans="1:14" ht="15.75">
      <c r="A29" s="62">
        <v>1053</v>
      </c>
      <c r="B29" s="63">
        <v>41425</v>
      </c>
      <c r="C29" s="64" t="s">
        <v>12</v>
      </c>
      <c r="D29" s="97">
        <v>30241</v>
      </c>
      <c r="E29" s="80">
        <f t="shared" si="0"/>
        <v>14.538942307692308</v>
      </c>
      <c r="F29" s="68">
        <f>ROUND(YEARFRAC(B29,F9),0)</f>
        <v>2</v>
      </c>
      <c r="G29" s="73">
        <v>12</v>
      </c>
      <c r="H29" s="74">
        <v>20</v>
      </c>
      <c r="I29" s="65"/>
      <c r="J29" s="66">
        <v>3</v>
      </c>
      <c r="K29" s="66">
        <v>1</v>
      </c>
      <c r="L29" s="66">
        <v>2</v>
      </c>
      <c r="M29" s="50" t="s">
        <v>51</v>
      </c>
      <c r="N29" s="50" t="str">
        <f>VLOOKUP(M29,F417:G420,2,FALSE)</f>
        <v>Northeast</v>
      </c>
    </row>
    <row r="30" spans="1:14" ht="15.75">
      <c r="A30" s="62">
        <v>1053</v>
      </c>
      <c r="B30" s="63">
        <v>40064</v>
      </c>
      <c r="C30" s="64" t="s">
        <v>12</v>
      </c>
      <c r="D30" s="97">
        <v>35293</v>
      </c>
      <c r="E30" s="80">
        <f t="shared" si="0"/>
        <v>16.967788461538461</v>
      </c>
      <c r="F30" s="68">
        <f>ROUND(YEARFRAC(B30,F9),0)</f>
        <v>5</v>
      </c>
      <c r="G30" s="73">
        <v>12</v>
      </c>
      <c r="H30" s="74">
        <v>30</v>
      </c>
      <c r="I30" s="65"/>
      <c r="J30" s="66">
        <v>1</v>
      </c>
      <c r="K30" s="66">
        <v>1</v>
      </c>
      <c r="L30" s="66">
        <v>1</v>
      </c>
      <c r="M30" s="50" t="s">
        <v>52</v>
      </c>
      <c r="N30" s="50" t="str">
        <f>VLOOKUP(M30,F417:G420,2,FALSE)</f>
        <v>Midwest</v>
      </c>
    </row>
    <row r="31" spans="1:14" ht="15.75">
      <c r="A31" s="62">
        <v>1055</v>
      </c>
      <c r="B31" s="63">
        <v>37057</v>
      </c>
      <c r="C31" s="64" t="s">
        <v>24</v>
      </c>
      <c r="D31" s="97">
        <v>99836</v>
      </c>
      <c r="E31" s="80">
        <f t="shared" si="0"/>
        <v>47.998076923076923</v>
      </c>
      <c r="F31" s="68">
        <f>ROUND(YEARFRAC(B31,F9),0)</f>
        <v>14</v>
      </c>
      <c r="G31" s="73">
        <v>19</v>
      </c>
      <c r="H31" s="74">
        <v>45</v>
      </c>
      <c r="I31" s="65" t="str">
        <f>IF(F31&gt;=10,"Yes","No")</f>
        <v>Yes</v>
      </c>
      <c r="J31" s="66">
        <v>3</v>
      </c>
      <c r="K31" s="66">
        <v>2</v>
      </c>
      <c r="L31" s="66">
        <v>1</v>
      </c>
      <c r="M31" s="50" t="s">
        <v>51</v>
      </c>
      <c r="N31" s="50" t="str">
        <f>VLOOKUP(M31,F417:G420,2,FALSE)</f>
        <v>Northeast</v>
      </c>
    </row>
    <row r="32" spans="1:14" ht="15.75">
      <c r="A32" s="62">
        <v>1055</v>
      </c>
      <c r="B32" s="63">
        <v>37046</v>
      </c>
      <c r="C32" s="64" t="s">
        <v>12</v>
      </c>
      <c r="D32" s="97">
        <v>56663</v>
      </c>
      <c r="E32" s="80">
        <f t="shared" si="0"/>
        <v>27.241826923076925</v>
      </c>
      <c r="F32" s="68">
        <f>ROUND(YEARFRAC(B32,F9),0)</f>
        <v>14</v>
      </c>
      <c r="G32" s="73">
        <v>16</v>
      </c>
      <c r="H32" s="74">
        <v>50</v>
      </c>
      <c r="I32" s="65" t="str">
        <f>IF(F32&gt;=10,"Yes","No")</f>
        <v>Yes</v>
      </c>
      <c r="J32" s="66">
        <v>3</v>
      </c>
      <c r="K32" s="66">
        <v>1</v>
      </c>
      <c r="L32" s="66">
        <v>1</v>
      </c>
      <c r="M32" s="50" t="s">
        <v>51</v>
      </c>
      <c r="N32" s="50" t="str">
        <f>VLOOKUP(M32,F417:G420,2,FALSE)</f>
        <v>Northeast</v>
      </c>
    </row>
    <row r="33" spans="1:14" ht="15.75">
      <c r="A33" s="62">
        <v>1055</v>
      </c>
      <c r="B33" s="67">
        <v>37164</v>
      </c>
      <c r="C33" s="64" t="s">
        <v>12</v>
      </c>
      <c r="D33" s="97">
        <v>57385</v>
      </c>
      <c r="E33" s="80">
        <f t="shared" si="0"/>
        <v>27.588942307692307</v>
      </c>
      <c r="F33" s="68">
        <f>ROUND(YEARFRAC(B33,F9),0)</f>
        <v>13</v>
      </c>
      <c r="G33" s="73">
        <v>16</v>
      </c>
      <c r="H33" s="74">
        <v>50</v>
      </c>
      <c r="I33" s="65" t="str">
        <f>IF(F33&gt;=10,"Yes","No")</f>
        <v>Yes</v>
      </c>
      <c r="J33" s="66">
        <v>1</v>
      </c>
      <c r="K33" s="66">
        <v>1</v>
      </c>
      <c r="L33" s="66">
        <v>1</v>
      </c>
      <c r="M33" s="50" t="s">
        <v>52</v>
      </c>
      <c r="N33" s="50" t="str">
        <f>VLOOKUP(M33,F417:G420,2,FALSE)</f>
        <v>Midwest</v>
      </c>
    </row>
    <row r="34" spans="1:14" ht="15.75">
      <c r="A34" s="62">
        <v>1056</v>
      </c>
      <c r="B34" s="63">
        <v>39208</v>
      </c>
      <c r="C34" s="64" t="s">
        <v>12</v>
      </c>
      <c r="D34" s="97">
        <v>48059</v>
      </c>
      <c r="E34" s="80">
        <f t="shared" si="0"/>
        <v>23.105288461538461</v>
      </c>
      <c r="F34" s="68">
        <f>ROUND(YEARFRAC(B34,F9),0)</f>
        <v>8</v>
      </c>
      <c r="G34" s="73">
        <v>12</v>
      </c>
      <c r="H34" s="74">
        <v>38</v>
      </c>
      <c r="I34" s="65"/>
      <c r="J34" s="66">
        <v>3</v>
      </c>
      <c r="K34" s="66">
        <v>1</v>
      </c>
      <c r="L34" s="66">
        <v>1</v>
      </c>
      <c r="M34" s="50" t="s">
        <v>52</v>
      </c>
      <c r="N34" s="50" t="str">
        <f>VLOOKUP(M34,F417:G420,2,FALSE)</f>
        <v>Midwest</v>
      </c>
    </row>
    <row r="35" spans="1:14" ht="15.75">
      <c r="A35" s="62">
        <v>1059</v>
      </c>
      <c r="B35" s="63">
        <v>40953</v>
      </c>
      <c r="C35" s="64" t="s">
        <v>27</v>
      </c>
      <c r="D35" s="97">
        <v>46589</v>
      </c>
      <c r="E35" s="80">
        <f t="shared" si="0"/>
        <v>22.398557692307691</v>
      </c>
      <c r="F35" s="68">
        <f>ROUND(YEARFRAC(B35,F9),0)</f>
        <v>3</v>
      </c>
      <c r="G35" s="73">
        <v>16</v>
      </c>
      <c r="H35" s="74">
        <v>33</v>
      </c>
      <c r="I35" s="65"/>
      <c r="J35" s="66">
        <v>3</v>
      </c>
      <c r="K35" s="66">
        <v>2</v>
      </c>
      <c r="L35" s="66">
        <v>1</v>
      </c>
      <c r="M35" s="50" t="s">
        <v>48</v>
      </c>
      <c r="N35" s="50" t="str">
        <f>VLOOKUP(M35,F417:G420,2,FALSE)</f>
        <v>C-Plains</v>
      </c>
    </row>
    <row r="36" spans="1:14" ht="15.75">
      <c r="A36" s="62">
        <v>1061</v>
      </c>
      <c r="B36" s="63">
        <v>39846</v>
      </c>
      <c r="C36" s="64" t="s">
        <v>12</v>
      </c>
      <c r="D36" s="97">
        <v>39931</v>
      </c>
      <c r="E36" s="80">
        <f t="shared" si="0"/>
        <v>19.197596153846153</v>
      </c>
      <c r="F36" s="68">
        <f>ROUND(YEARFRAC(B36,F9),0)</f>
        <v>6</v>
      </c>
      <c r="G36" s="73">
        <v>12</v>
      </c>
      <c r="H36" s="74">
        <v>34</v>
      </c>
      <c r="I36" s="65"/>
      <c r="J36" s="66">
        <v>1</v>
      </c>
      <c r="K36" s="66">
        <v>1</v>
      </c>
      <c r="L36" s="66">
        <v>1</v>
      </c>
      <c r="M36" s="50" t="s">
        <v>48</v>
      </c>
      <c r="N36" s="50" t="str">
        <f>VLOOKUP(M36,F417:G420,2,FALSE)</f>
        <v>C-Plains</v>
      </c>
    </row>
    <row r="37" spans="1:14" ht="15.75">
      <c r="A37" s="62">
        <v>1062</v>
      </c>
      <c r="B37" s="63">
        <v>41337</v>
      </c>
      <c r="C37" s="64" t="s">
        <v>27</v>
      </c>
      <c r="D37" s="97">
        <v>32238</v>
      </c>
      <c r="E37" s="80">
        <f t="shared" si="0"/>
        <v>15.499038461538461</v>
      </c>
      <c r="F37" s="68">
        <f>ROUND(YEARFRAC(B37,F9),0)</f>
        <v>2</v>
      </c>
      <c r="G37" s="73">
        <v>16</v>
      </c>
      <c r="H37" s="74">
        <v>28</v>
      </c>
      <c r="I37" s="65"/>
      <c r="J37" s="66">
        <v>3</v>
      </c>
      <c r="K37" s="66">
        <v>1</v>
      </c>
      <c r="L37" s="66">
        <v>2</v>
      </c>
      <c r="M37" s="50" t="s">
        <v>52</v>
      </c>
      <c r="N37" s="50" t="str">
        <f>VLOOKUP(M37,F417:G420,2,FALSE)</f>
        <v>Midwest</v>
      </c>
    </row>
    <row r="38" spans="1:14" ht="15.75">
      <c r="A38" s="62">
        <v>1062</v>
      </c>
      <c r="B38" s="63">
        <v>40002</v>
      </c>
      <c r="C38" s="64" t="s">
        <v>19</v>
      </c>
      <c r="D38" s="97">
        <v>72803</v>
      </c>
      <c r="E38" s="80">
        <f t="shared" si="0"/>
        <v>35.001442307692308</v>
      </c>
      <c r="F38" s="68">
        <f>ROUND(YEARFRAC(B38,F9),0)</f>
        <v>5</v>
      </c>
      <c r="G38" s="73">
        <v>14</v>
      </c>
      <c r="H38" s="74">
        <v>35</v>
      </c>
      <c r="I38" s="65"/>
      <c r="J38" s="66">
        <v>3</v>
      </c>
      <c r="K38" s="66">
        <v>1</v>
      </c>
      <c r="L38" s="66">
        <v>1</v>
      </c>
      <c r="M38" s="50" t="s">
        <v>51</v>
      </c>
      <c r="N38" s="50" t="str">
        <f>VLOOKUP(M38,F417:G420,2,FALSE)</f>
        <v>Northeast</v>
      </c>
    </row>
    <row r="39" spans="1:14" ht="15.75">
      <c r="A39" s="62">
        <v>1069</v>
      </c>
      <c r="B39" s="63">
        <v>40577</v>
      </c>
      <c r="C39" s="64" t="s">
        <v>64</v>
      </c>
      <c r="D39" s="97">
        <v>79938</v>
      </c>
      <c r="E39" s="80">
        <f t="shared" si="0"/>
        <v>38.431730769230768</v>
      </c>
      <c r="F39" s="68">
        <f>ROUND(YEARFRAC(B39,F9),0)</f>
        <v>4</v>
      </c>
      <c r="G39" s="73">
        <v>16</v>
      </c>
      <c r="H39" s="74">
        <v>35</v>
      </c>
      <c r="I39" s="65"/>
      <c r="J39" s="66">
        <v>2</v>
      </c>
      <c r="K39" s="66">
        <v>2</v>
      </c>
      <c r="L39" s="66">
        <v>1</v>
      </c>
      <c r="M39" s="50" t="s">
        <v>52</v>
      </c>
      <c r="N39" s="50" t="str">
        <f>VLOOKUP(M39,F417:G420,2,FALSE)</f>
        <v>Midwest</v>
      </c>
    </row>
    <row r="40" spans="1:14" ht="15.75">
      <c r="A40" s="62">
        <v>1070</v>
      </c>
      <c r="B40" s="63">
        <v>40046</v>
      </c>
      <c r="C40" s="64" t="s">
        <v>12</v>
      </c>
      <c r="D40" s="97">
        <v>35498</v>
      </c>
      <c r="E40" s="80">
        <f t="shared" si="0"/>
        <v>17.066346153846155</v>
      </c>
      <c r="F40" s="68">
        <f>ROUND(YEARFRAC(B40,F9),0)</f>
        <v>5</v>
      </c>
      <c r="G40" s="73">
        <v>12</v>
      </c>
      <c r="H40" s="74">
        <v>31</v>
      </c>
      <c r="I40" s="65"/>
      <c r="J40" s="66">
        <v>3</v>
      </c>
      <c r="K40" s="66">
        <v>1</v>
      </c>
      <c r="L40" s="66">
        <v>1</v>
      </c>
      <c r="M40" s="50" t="s">
        <v>48</v>
      </c>
      <c r="N40" s="50" t="str">
        <f>VLOOKUP(M40,F417:G420,2,FALSE)</f>
        <v>C-Plains</v>
      </c>
    </row>
    <row r="41" spans="1:14" ht="15.75">
      <c r="A41" s="62">
        <v>1071</v>
      </c>
      <c r="B41" s="63">
        <v>38361</v>
      </c>
      <c r="C41" s="64" t="s">
        <v>64</v>
      </c>
      <c r="D41" s="97">
        <v>86238</v>
      </c>
      <c r="E41" s="80">
        <f t="shared" si="0"/>
        <v>41.460576923076921</v>
      </c>
      <c r="F41" s="68">
        <f>ROUND(YEARFRAC(B41,F9),0)</f>
        <v>10</v>
      </c>
      <c r="G41" s="73">
        <v>19</v>
      </c>
      <c r="H41" s="74">
        <v>41</v>
      </c>
      <c r="I41" s="65"/>
      <c r="J41" s="66">
        <v>3</v>
      </c>
      <c r="K41" s="66">
        <v>1</v>
      </c>
      <c r="L41" s="66">
        <v>1</v>
      </c>
      <c r="M41" s="50" t="s">
        <v>48</v>
      </c>
      <c r="N41" s="50" t="str">
        <f>VLOOKUP(M41,F417:G420,2,FALSE)</f>
        <v>C-Plains</v>
      </c>
    </row>
    <row r="42" spans="1:14" ht="15.75">
      <c r="A42" s="62">
        <v>1071</v>
      </c>
      <c r="B42" s="63">
        <v>38572</v>
      </c>
      <c r="C42" s="64" t="s">
        <v>64</v>
      </c>
      <c r="D42" s="97">
        <v>87019</v>
      </c>
      <c r="E42" s="80">
        <f t="shared" si="0"/>
        <v>41.836057692307691</v>
      </c>
      <c r="F42" s="68">
        <f>ROUND(YEARFRAC(B42,F9),0)</f>
        <v>9</v>
      </c>
      <c r="G42" s="73">
        <v>19</v>
      </c>
      <c r="H42" s="74">
        <v>51</v>
      </c>
      <c r="I42" s="65"/>
      <c r="J42" s="66">
        <v>3</v>
      </c>
      <c r="K42" s="66">
        <v>1</v>
      </c>
      <c r="L42" s="66">
        <v>1</v>
      </c>
      <c r="M42" s="50" t="s">
        <v>52</v>
      </c>
      <c r="N42" s="50" t="str">
        <f>VLOOKUP(M42,F417:G420,2,FALSE)</f>
        <v>Midwest</v>
      </c>
    </row>
    <row r="43" spans="1:14" ht="15.75">
      <c r="A43" s="62">
        <v>1075</v>
      </c>
      <c r="B43" s="63">
        <v>40192</v>
      </c>
      <c r="C43" s="64" t="s">
        <v>12</v>
      </c>
      <c r="D43" s="97">
        <v>34317</v>
      </c>
      <c r="E43" s="80">
        <f t="shared" si="0"/>
        <v>16.498557692307692</v>
      </c>
      <c r="F43" s="68">
        <f>ROUND(YEARFRAC(B43,F9),0)</f>
        <v>5</v>
      </c>
      <c r="G43" s="73">
        <v>12</v>
      </c>
      <c r="H43" s="74">
        <v>28</v>
      </c>
      <c r="I43" s="65"/>
      <c r="J43" s="66">
        <v>3</v>
      </c>
      <c r="K43" s="66">
        <v>2</v>
      </c>
      <c r="L43" s="66">
        <v>1</v>
      </c>
      <c r="M43" s="50" t="s">
        <v>48</v>
      </c>
      <c r="N43" s="50" t="str">
        <f>VLOOKUP(M43,F417:G420,2,FALSE)</f>
        <v>C-Plains</v>
      </c>
    </row>
    <row r="44" spans="1:14" ht="15.75">
      <c r="A44" s="62">
        <v>1079</v>
      </c>
      <c r="B44" s="63">
        <v>37909</v>
      </c>
      <c r="C44" s="64" t="s">
        <v>29</v>
      </c>
      <c r="D44" s="97">
        <v>51459</v>
      </c>
      <c r="E44" s="80">
        <f t="shared" si="0"/>
        <v>24.739903846153847</v>
      </c>
      <c r="F44" s="68">
        <f>ROUND(YEARFRAC(B44,F9),0)</f>
        <v>11</v>
      </c>
      <c r="G44" s="73">
        <v>16</v>
      </c>
      <c r="H44" s="74">
        <v>31</v>
      </c>
      <c r="I44" s="65" t="str">
        <f>IF(F44&gt;=10,"Yes","No")</f>
        <v>Yes</v>
      </c>
      <c r="J44" s="66">
        <v>3</v>
      </c>
      <c r="K44" s="66">
        <v>1</v>
      </c>
      <c r="L44" s="66">
        <v>1</v>
      </c>
      <c r="M44" s="50" t="s">
        <v>51</v>
      </c>
      <c r="N44" s="50" t="str">
        <f>VLOOKUP(M44,F417:G420,2,FALSE)</f>
        <v>Northeast</v>
      </c>
    </row>
    <row r="45" spans="1:14" ht="15.75">
      <c r="A45" s="62">
        <v>1083</v>
      </c>
      <c r="B45" s="63">
        <v>40052</v>
      </c>
      <c r="C45" s="64" t="s">
        <v>12</v>
      </c>
      <c r="D45" s="97">
        <v>35396</v>
      </c>
      <c r="E45" s="80">
        <f t="shared" si="0"/>
        <v>17.017307692307693</v>
      </c>
      <c r="F45" s="68">
        <f>ROUND(YEARFRAC(B45,F9),0)</f>
        <v>5</v>
      </c>
      <c r="G45" s="73">
        <v>12</v>
      </c>
      <c r="H45" s="74">
        <v>31</v>
      </c>
      <c r="I45" s="65"/>
      <c r="J45" s="66">
        <v>3</v>
      </c>
      <c r="K45" s="66">
        <v>1</v>
      </c>
      <c r="L45" s="66">
        <v>2</v>
      </c>
      <c r="M45" s="50" t="s">
        <v>51</v>
      </c>
      <c r="N45" s="50" t="str">
        <f>VLOOKUP(M45,F417:G420,2,FALSE)</f>
        <v>Northeast</v>
      </c>
    </row>
    <row r="46" spans="1:14" ht="15.75">
      <c r="A46" s="62">
        <v>1083</v>
      </c>
      <c r="B46" s="67">
        <v>36646</v>
      </c>
      <c r="C46" s="64" t="s">
        <v>12</v>
      </c>
      <c r="D46" s="97">
        <v>58771</v>
      </c>
      <c r="E46" s="80">
        <f t="shared" si="0"/>
        <v>28.255288461538463</v>
      </c>
      <c r="F46" s="68">
        <f>ROUND(YEARFRAC(B46,F9),0)</f>
        <v>15</v>
      </c>
      <c r="G46" s="73">
        <v>14</v>
      </c>
      <c r="H46" s="74">
        <v>52</v>
      </c>
      <c r="I46" s="65" t="str">
        <f>IF(F46&gt;=10,"Yes","No")</f>
        <v>Yes</v>
      </c>
      <c r="J46" s="66">
        <v>3</v>
      </c>
      <c r="K46" s="66">
        <v>1</v>
      </c>
      <c r="L46" s="66">
        <v>1</v>
      </c>
      <c r="M46" s="50" t="s">
        <v>52</v>
      </c>
      <c r="N46" s="50" t="str">
        <f>VLOOKUP(M46,F417:G420,2,FALSE)</f>
        <v>Midwest</v>
      </c>
    </row>
    <row r="47" spans="1:14" ht="15.75">
      <c r="A47" s="62">
        <v>1084</v>
      </c>
      <c r="B47" s="63">
        <v>36234</v>
      </c>
      <c r="C47" s="64" t="s">
        <v>16</v>
      </c>
      <c r="D47" s="97">
        <v>85671</v>
      </c>
      <c r="E47" s="80">
        <f t="shared" si="0"/>
        <v>41.187980769230769</v>
      </c>
      <c r="F47" s="68">
        <f>ROUND(YEARFRAC(B47,F9),0)</f>
        <v>16</v>
      </c>
      <c r="G47" s="73">
        <v>19</v>
      </c>
      <c r="H47" s="74">
        <v>62</v>
      </c>
      <c r="I47" s="65" t="str">
        <f>IF(F47&gt;=10,"Yes","No")</f>
        <v>Yes</v>
      </c>
      <c r="J47" s="66">
        <v>3</v>
      </c>
      <c r="K47" s="66">
        <v>1</v>
      </c>
      <c r="L47" s="66">
        <v>1</v>
      </c>
      <c r="M47" s="50" t="s">
        <v>51</v>
      </c>
      <c r="N47" s="50" t="str">
        <f>VLOOKUP(M47,F417:G420,2,FALSE)</f>
        <v>Northeast</v>
      </c>
    </row>
    <row r="48" spans="1:14" ht="15.75">
      <c r="A48" s="62">
        <v>1088</v>
      </c>
      <c r="B48" s="63">
        <v>40819</v>
      </c>
      <c r="C48" s="64" t="s">
        <v>32</v>
      </c>
      <c r="D48" s="97">
        <v>83974</v>
      </c>
      <c r="E48" s="80">
        <f t="shared" si="0"/>
        <v>40.372115384615384</v>
      </c>
      <c r="F48" s="68">
        <f>ROUND(YEARFRAC(B48,F9),0)</f>
        <v>3</v>
      </c>
      <c r="G48" s="73">
        <v>16</v>
      </c>
      <c r="H48" s="74">
        <v>35</v>
      </c>
      <c r="I48" s="65"/>
      <c r="J48" s="66">
        <v>1</v>
      </c>
      <c r="K48" s="66">
        <v>2</v>
      </c>
      <c r="L48" s="66">
        <v>1</v>
      </c>
      <c r="M48" s="50" t="s">
        <v>48</v>
      </c>
      <c r="N48" s="50" t="str">
        <f>VLOOKUP(M48,F417:G420,2,FALSE)</f>
        <v>C-Plains</v>
      </c>
    </row>
    <row r="49" spans="1:14" ht="15.75">
      <c r="A49" s="62">
        <v>1096</v>
      </c>
      <c r="B49" s="63">
        <v>38782</v>
      </c>
      <c r="C49" s="64" t="s">
        <v>12</v>
      </c>
      <c r="D49" s="97">
        <v>50502</v>
      </c>
      <c r="E49" s="80">
        <f t="shared" si="0"/>
        <v>24.279807692307692</v>
      </c>
      <c r="F49" s="68">
        <f>ROUND(YEARFRAC(B49,F9),0)</f>
        <v>9</v>
      </c>
      <c r="G49" s="73">
        <v>12</v>
      </c>
      <c r="H49" s="74">
        <v>42</v>
      </c>
      <c r="I49" s="65"/>
      <c r="J49" s="66">
        <v>3</v>
      </c>
      <c r="K49" s="66">
        <v>1</v>
      </c>
      <c r="L49" s="66">
        <v>1</v>
      </c>
      <c r="M49" s="50" t="s">
        <v>48</v>
      </c>
      <c r="N49" s="50" t="str">
        <f>VLOOKUP(M49,F417:G420,2,FALSE)</f>
        <v>C-Plains</v>
      </c>
    </row>
    <row r="50" spans="1:14" ht="15.75">
      <c r="A50" s="62">
        <v>1097</v>
      </c>
      <c r="B50" s="63">
        <v>38578</v>
      </c>
      <c r="C50" s="64" t="s">
        <v>12</v>
      </c>
      <c r="D50" s="97">
        <v>50571</v>
      </c>
      <c r="E50" s="80">
        <f t="shared" si="0"/>
        <v>24.312980769230769</v>
      </c>
      <c r="F50" s="68">
        <f>ROUND(YEARFRAC(B50,F9),0)</f>
        <v>9</v>
      </c>
      <c r="G50" s="73">
        <v>12</v>
      </c>
      <c r="H50" s="74">
        <v>43</v>
      </c>
      <c r="I50" s="65"/>
      <c r="J50" s="66">
        <v>1</v>
      </c>
      <c r="K50" s="66">
        <v>1</v>
      </c>
      <c r="L50" s="66">
        <v>1</v>
      </c>
      <c r="M50" s="50" t="s">
        <v>51</v>
      </c>
      <c r="N50" s="50" t="str">
        <f>VLOOKUP(M50,F417:G420,2,FALSE)</f>
        <v>Northeast</v>
      </c>
    </row>
    <row r="51" spans="1:14" ht="15.75">
      <c r="A51" s="62">
        <v>1098</v>
      </c>
      <c r="B51" s="63">
        <v>41652</v>
      </c>
      <c r="C51" s="64" t="s">
        <v>64</v>
      </c>
      <c r="D51" s="97">
        <v>62245</v>
      </c>
      <c r="E51" s="80">
        <f t="shared" si="0"/>
        <v>29.92548076923077</v>
      </c>
      <c r="F51" s="68">
        <f>ROUND(YEARFRAC(B51,F9),0)</f>
        <v>1</v>
      </c>
      <c r="G51" s="73">
        <v>16</v>
      </c>
      <c r="H51" s="74">
        <v>25</v>
      </c>
      <c r="I51" s="65"/>
      <c r="J51" s="66">
        <v>3</v>
      </c>
      <c r="K51" s="66">
        <v>1</v>
      </c>
      <c r="L51" s="66">
        <v>2</v>
      </c>
      <c r="M51" s="50" t="s">
        <v>51</v>
      </c>
      <c r="N51" s="50" t="str">
        <f>VLOOKUP(M51,F417:G420,2,FALSE)</f>
        <v>Northeast</v>
      </c>
    </row>
    <row r="52" spans="1:14" ht="15.75">
      <c r="A52" s="62">
        <v>1101</v>
      </c>
      <c r="B52" s="63">
        <v>37415</v>
      </c>
      <c r="C52" s="64" t="s">
        <v>29</v>
      </c>
      <c r="D52" s="97">
        <v>55994</v>
      </c>
      <c r="E52" s="80">
        <f t="shared" si="0"/>
        <v>26.920192307692307</v>
      </c>
      <c r="F52" s="68">
        <f>ROUND(YEARFRAC(B52,F9),0)</f>
        <v>13</v>
      </c>
      <c r="G52" s="73">
        <v>16</v>
      </c>
      <c r="H52" s="74">
        <v>31</v>
      </c>
      <c r="I52" s="65" t="str">
        <f>IF(F52&gt;=10,"Yes","No")</f>
        <v>Yes</v>
      </c>
      <c r="J52" s="66">
        <v>1</v>
      </c>
      <c r="K52" s="66">
        <v>1</v>
      </c>
      <c r="L52" s="66">
        <v>1</v>
      </c>
      <c r="M52" s="50" t="s">
        <v>48</v>
      </c>
      <c r="N52" s="50" t="str">
        <f>VLOOKUP(M52,F417:G420,2,FALSE)</f>
        <v>C-Plains</v>
      </c>
    </row>
    <row r="53" spans="1:14" ht="15.75">
      <c r="A53" s="62">
        <v>1102</v>
      </c>
      <c r="B53" s="63">
        <v>36624</v>
      </c>
      <c r="C53" s="64" t="s">
        <v>34</v>
      </c>
      <c r="D53" s="97">
        <v>88900</v>
      </c>
      <c r="E53" s="80">
        <f t="shared" si="0"/>
        <v>42.740384615384613</v>
      </c>
      <c r="F53" s="68">
        <f>ROUND(YEARFRAC(B53,F9),0)</f>
        <v>15</v>
      </c>
      <c r="G53" s="73">
        <v>19</v>
      </c>
      <c r="H53" s="74">
        <v>48</v>
      </c>
      <c r="I53" s="65" t="str">
        <f>IF(F53&gt;=10,"Yes","No")</f>
        <v>Yes</v>
      </c>
      <c r="J53" s="66">
        <v>3</v>
      </c>
      <c r="K53" s="66">
        <v>1</v>
      </c>
      <c r="L53" s="66">
        <v>1</v>
      </c>
      <c r="M53" s="50" t="s">
        <v>51</v>
      </c>
      <c r="N53" s="50" t="str">
        <f>VLOOKUP(M53,F417:G420,2,FALSE)</f>
        <v>Northeast</v>
      </c>
    </row>
    <row r="54" spans="1:14" ht="15.75">
      <c r="A54" s="62">
        <v>1104</v>
      </c>
      <c r="B54" s="63">
        <v>38384</v>
      </c>
      <c r="C54" s="64" t="s">
        <v>12</v>
      </c>
      <c r="D54" s="97">
        <v>52450</v>
      </c>
      <c r="E54" s="80">
        <f t="shared" si="0"/>
        <v>25.216346153846153</v>
      </c>
      <c r="F54" s="68">
        <f>ROUND(YEARFRAC(B54,F9),0)</f>
        <v>10</v>
      </c>
      <c r="G54" s="73">
        <v>12</v>
      </c>
      <c r="H54" s="74">
        <v>44</v>
      </c>
      <c r="I54" s="65"/>
      <c r="J54" s="66">
        <v>3</v>
      </c>
      <c r="K54" s="66">
        <v>1</v>
      </c>
      <c r="L54" s="66">
        <v>1</v>
      </c>
      <c r="M54" s="50" t="s">
        <v>48</v>
      </c>
      <c r="N54" s="50" t="str">
        <f>VLOOKUP(M54,F417:G420,2,FALSE)</f>
        <v>C-Plains</v>
      </c>
    </row>
    <row r="55" spans="1:14" ht="15.75">
      <c r="A55" s="62">
        <v>1105</v>
      </c>
      <c r="B55" s="63">
        <v>41158</v>
      </c>
      <c r="C55" s="64" t="s">
        <v>29</v>
      </c>
      <c r="D55" s="97">
        <v>32633</v>
      </c>
      <c r="E55" s="80">
        <f t="shared" si="0"/>
        <v>15.688942307692308</v>
      </c>
      <c r="F55" s="68">
        <f>ROUND(YEARFRAC(B55,F9),0)</f>
        <v>2</v>
      </c>
      <c r="G55" s="73">
        <v>12</v>
      </c>
      <c r="H55" s="74">
        <v>28</v>
      </c>
      <c r="I55" s="65"/>
      <c r="J55" s="66">
        <v>3</v>
      </c>
      <c r="K55" s="66">
        <v>1</v>
      </c>
      <c r="L55" s="66">
        <v>2</v>
      </c>
      <c r="M55" s="50" t="s">
        <v>48</v>
      </c>
      <c r="N55" s="50" t="str">
        <f>VLOOKUP(M55,F417:G420,2,FALSE)</f>
        <v>C-Plains</v>
      </c>
    </row>
    <row r="56" spans="1:14" ht="15.75">
      <c r="A56" s="62">
        <v>1106</v>
      </c>
      <c r="B56" s="67">
        <v>37385</v>
      </c>
      <c r="C56" s="64" t="s">
        <v>12</v>
      </c>
      <c r="D56" s="97">
        <v>55744</v>
      </c>
      <c r="E56" s="80">
        <f t="shared" si="0"/>
        <v>26.8</v>
      </c>
      <c r="F56" s="68">
        <f>ROUND(YEARFRAC(B56,F9),0)</f>
        <v>13</v>
      </c>
      <c r="G56" s="73">
        <v>12</v>
      </c>
      <c r="H56" s="74">
        <v>48</v>
      </c>
      <c r="I56" s="65" t="str">
        <f>IF(F56&gt;=10,"Yes","No")</f>
        <v>Yes</v>
      </c>
      <c r="J56" s="66">
        <v>1</v>
      </c>
      <c r="K56" s="66">
        <v>1</v>
      </c>
      <c r="L56" s="66">
        <v>1</v>
      </c>
      <c r="M56" s="50" t="s">
        <v>52</v>
      </c>
      <c r="N56" s="50" t="str">
        <f>VLOOKUP(M56,F417:G420,2,FALSE)</f>
        <v>Midwest</v>
      </c>
    </row>
    <row r="57" spans="1:14" ht="15.75">
      <c r="A57" s="62">
        <v>1108</v>
      </c>
      <c r="B57" s="63">
        <v>39248</v>
      </c>
      <c r="C57" s="64" t="s">
        <v>13</v>
      </c>
      <c r="D57" s="97">
        <v>27403</v>
      </c>
      <c r="E57" s="80">
        <f t="shared" si="0"/>
        <v>13.174519230769231</v>
      </c>
      <c r="F57" s="68">
        <f>ROUND(YEARFRAC(B57,F9),0)</f>
        <v>8</v>
      </c>
      <c r="G57" s="73">
        <v>12</v>
      </c>
      <c r="H57" s="74">
        <v>29</v>
      </c>
      <c r="I57" s="65"/>
      <c r="J57" s="66">
        <v>3</v>
      </c>
      <c r="K57" s="66">
        <v>1</v>
      </c>
      <c r="L57" s="66">
        <v>2</v>
      </c>
      <c r="M57" s="50" t="s">
        <v>52</v>
      </c>
      <c r="N57" s="50" t="str">
        <f>VLOOKUP(M57,F417:G420,2,FALSE)</f>
        <v>Midwest</v>
      </c>
    </row>
    <row r="58" spans="1:14" ht="15.75">
      <c r="A58" s="62">
        <v>1109</v>
      </c>
      <c r="B58" s="63">
        <v>39135</v>
      </c>
      <c r="C58" s="64" t="s">
        <v>12</v>
      </c>
      <c r="D58" s="97">
        <v>49201</v>
      </c>
      <c r="E58" s="80">
        <f t="shared" si="0"/>
        <v>23.654326923076923</v>
      </c>
      <c r="F58" s="68">
        <f>ROUND(YEARFRAC(B58,F9),0)</f>
        <v>8</v>
      </c>
      <c r="G58" s="73">
        <v>12</v>
      </c>
      <c r="H58" s="74">
        <v>39</v>
      </c>
      <c r="I58" s="65"/>
      <c r="J58" s="66">
        <v>3</v>
      </c>
      <c r="K58" s="66">
        <v>1</v>
      </c>
      <c r="L58" s="66">
        <v>1</v>
      </c>
      <c r="M58" s="50" t="s">
        <v>48</v>
      </c>
      <c r="N58" s="50" t="str">
        <f>VLOOKUP(M58,F417:G420,2,FALSE)</f>
        <v>C-Plains</v>
      </c>
    </row>
    <row r="59" spans="1:14" ht="15.75">
      <c r="A59" s="62">
        <v>1113</v>
      </c>
      <c r="B59" s="63">
        <v>41031</v>
      </c>
      <c r="C59" s="64" t="s">
        <v>12</v>
      </c>
      <c r="D59" s="97">
        <v>32124</v>
      </c>
      <c r="E59" s="80">
        <f t="shared" si="0"/>
        <v>15.444230769230769</v>
      </c>
      <c r="F59" s="68">
        <f>ROUND(YEARFRAC(B59,F9),0)</f>
        <v>3</v>
      </c>
      <c r="G59" s="73">
        <v>12</v>
      </c>
      <c r="H59" s="74">
        <v>24</v>
      </c>
      <c r="I59" s="65"/>
      <c r="J59" s="66">
        <v>1</v>
      </c>
      <c r="K59" s="66">
        <v>2</v>
      </c>
      <c r="L59" s="66">
        <v>2</v>
      </c>
      <c r="M59" s="50" t="s">
        <v>51</v>
      </c>
      <c r="N59" s="50" t="str">
        <f>VLOOKUP(M59,F417:G420,2,FALSE)</f>
        <v>Northeast</v>
      </c>
    </row>
    <row r="60" spans="1:14" ht="15.75">
      <c r="A60" s="62">
        <v>1113</v>
      </c>
      <c r="B60" s="63">
        <v>36777</v>
      </c>
      <c r="C60" s="64" t="s">
        <v>18</v>
      </c>
      <c r="D60" s="97">
        <v>81695</v>
      </c>
      <c r="E60" s="80">
        <f t="shared" si="0"/>
        <v>39.276442307692307</v>
      </c>
      <c r="F60" s="68">
        <f>ROUND(YEARFRAC(B60,F9),0)</f>
        <v>14</v>
      </c>
      <c r="G60" s="73">
        <v>14</v>
      </c>
      <c r="H60" s="74">
        <v>50</v>
      </c>
      <c r="I60" s="65" t="str">
        <f>IF(F60&gt;=10,"Yes","No")</f>
        <v>Yes</v>
      </c>
      <c r="J60" s="66">
        <v>1</v>
      </c>
      <c r="K60" s="66">
        <v>1</v>
      </c>
      <c r="L60" s="66">
        <v>1</v>
      </c>
      <c r="M60" s="50" t="s">
        <v>51</v>
      </c>
      <c r="N60" s="50" t="str">
        <f>VLOOKUP(M60,F417:G420,2,FALSE)</f>
        <v>Northeast</v>
      </c>
    </row>
    <row r="61" spans="1:14" ht="15.75">
      <c r="A61" s="62">
        <v>1116</v>
      </c>
      <c r="B61" s="63">
        <v>39812</v>
      </c>
      <c r="C61" s="64" t="s">
        <v>12</v>
      </c>
      <c r="D61" s="97">
        <v>42235</v>
      </c>
      <c r="E61" s="80">
        <f t="shared" si="0"/>
        <v>20.30528846153846</v>
      </c>
      <c r="F61" s="68">
        <f>ROUND(YEARFRAC(B61,F9),0)</f>
        <v>6</v>
      </c>
      <c r="G61" s="73">
        <v>12</v>
      </c>
      <c r="H61" s="74">
        <v>34</v>
      </c>
      <c r="I61" s="65"/>
      <c r="J61" s="66">
        <v>3</v>
      </c>
      <c r="K61" s="66">
        <v>1</v>
      </c>
      <c r="L61" s="66">
        <v>1</v>
      </c>
      <c r="M61" s="50" t="s">
        <v>52</v>
      </c>
      <c r="N61" s="50" t="str">
        <f>VLOOKUP(M61,F417:G420,2,FALSE)</f>
        <v>Midwest</v>
      </c>
    </row>
    <row r="62" spans="1:14" ht="15.75">
      <c r="A62" s="62">
        <v>1116</v>
      </c>
      <c r="B62" s="63">
        <v>36621</v>
      </c>
      <c r="C62" s="64" t="s">
        <v>30</v>
      </c>
      <c r="D62" s="97">
        <v>81526</v>
      </c>
      <c r="E62" s="80">
        <f t="shared" si="0"/>
        <v>39.195192307692309</v>
      </c>
      <c r="F62" s="68">
        <f>ROUND(YEARFRAC(B62,F9),0)</f>
        <v>15</v>
      </c>
      <c r="G62" s="73">
        <v>16</v>
      </c>
      <c r="H62" s="74">
        <v>52</v>
      </c>
      <c r="I62" s="65" t="str">
        <f>IF(F62&gt;=10,"Yes","No")</f>
        <v>Yes</v>
      </c>
      <c r="J62" s="66">
        <v>3</v>
      </c>
      <c r="K62" s="66">
        <v>1</v>
      </c>
      <c r="L62" s="66">
        <v>1</v>
      </c>
      <c r="M62" s="50" t="s">
        <v>51</v>
      </c>
      <c r="N62" s="50" t="str">
        <f>VLOOKUP(M62,F417:G420,2,FALSE)</f>
        <v>Northeast</v>
      </c>
    </row>
    <row r="63" spans="1:14" ht="15.75">
      <c r="A63" s="62">
        <v>1117</v>
      </c>
      <c r="B63" s="63">
        <v>39960</v>
      </c>
      <c r="C63" s="64" t="s">
        <v>13</v>
      </c>
      <c r="D63" s="97">
        <v>26360</v>
      </c>
      <c r="E63" s="80">
        <f t="shared" si="0"/>
        <v>12.673076923076923</v>
      </c>
      <c r="F63" s="68">
        <f>ROUND(YEARFRAC(B63,F9),0)</f>
        <v>6</v>
      </c>
      <c r="G63" s="73">
        <v>12</v>
      </c>
      <c r="H63" s="74">
        <v>27</v>
      </c>
      <c r="I63" s="65"/>
      <c r="J63" s="66">
        <v>3</v>
      </c>
      <c r="K63" s="66">
        <v>2</v>
      </c>
      <c r="L63" s="66">
        <v>1</v>
      </c>
      <c r="M63" s="50" t="s">
        <v>51</v>
      </c>
      <c r="N63" s="50" t="str">
        <f>VLOOKUP(M63,F417:G420,2,FALSE)</f>
        <v>Northeast</v>
      </c>
    </row>
    <row r="64" spans="1:14" ht="15.75">
      <c r="A64" s="62">
        <v>1117</v>
      </c>
      <c r="B64" s="63">
        <v>41136</v>
      </c>
      <c r="C64" s="64" t="s">
        <v>12</v>
      </c>
      <c r="D64" s="97">
        <v>31262</v>
      </c>
      <c r="E64" s="80">
        <f t="shared" si="0"/>
        <v>15.029807692307692</v>
      </c>
      <c r="F64" s="68">
        <f>ROUND(YEARFRAC(B64,F9),0)</f>
        <v>2</v>
      </c>
      <c r="G64" s="73">
        <v>12</v>
      </c>
      <c r="H64" s="74">
        <v>22</v>
      </c>
      <c r="I64" s="65"/>
      <c r="J64" s="66">
        <v>2</v>
      </c>
      <c r="K64" s="66">
        <v>1</v>
      </c>
      <c r="L64" s="66">
        <v>2</v>
      </c>
      <c r="M64" s="50" t="s">
        <v>52</v>
      </c>
      <c r="N64" s="50" t="str">
        <f>VLOOKUP(M64,F417:G420,2,FALSE)</f>
        <v>Midwest</v>
      </c>
    </row>
    <row r="65" spans="1:14" ht="15.75">
      <c r="A65" s="62">
        <v>1128</v>
      </c>
      <c r="B65" s="63">
        <v>40336</v>
      </c>
      <c r="C65" s="64" t="s">
        <v>19</v>
      </c>
      <c r="D65" s="97">
        <v>74104</v>
      </c>
      <c r="E65" s="80">
        <f t="shared" si="0"/>
        <v>35.626923076923077</v>
      </c>
      <c r="F65" s="68">
        <f>ROUND(YEARFRAC(B65,F9),0)</f>
        <v>5</v>
      </c>
      <c r="G65" s="73">
        <v>16</v>
      </c>
      <c r="H65" s="74">
        <v>35</v>
      </c>
      <c r="I65" s="65"/>
      <c r="J65" s="66">
        <v>3</v>
      </c>
      <c r="K65" s="66">
        <v>2</v>
      </c>
      <c r="L65" s="66">
        <v>1</v>
      </c>
      <c r="M65" s="50" t="s">
        <v>48</v>
      </c>
      <c r="N65" s="50" t="str">
        <f>VLOOKUP(M65,F417:G420,2,FALSE)</f>
        <v>C-Plains</v>
      </c>
    </row>
    <row r="66" spans="1:14" ht="15.75">
      <c r="A66" s="62">
        <v>1130</v>
      </c>
      <c r="B66" s="63">
        <v>36234</v>
      </c>
      <c r="C66" s="64" t="s">
        <v>12</v>
      </c>
      <c r="D66" s="97">
        <v>59438</v>
      </c>
      <c r="E66" s="80">
        <f t="shared" si="0"/>
        <v>28.575961538461538</v>
      </c>
      <c r="F66" s="68">
        <f>ROUND(YEARFRAC(B66,F9),0)</f>
        <v>16</v>
      </c>
      <c r="G66" s="73">
        <v>16</v>
      </c>
      <c r="H66" s="74">
        <v>53</v>
      </c>
      <c r="I66" s="65" t="str">
        <f>IF(F66&gt;=10,"Yes","No")</f>
        <v>Yes</v>
      </c>
      <c r="J66" s="66">
        <v>3</v>
      </c>
      <c r="K66" s="66">
        <v>1</v>
      </c>
      <c r="L66" s="66">
        <v>1</v>
      </c>
      <c r="M66" s="50" t="s">
        <v>51</v>
      </c>
      <c r="N66" s="50" t="str">
        <f>VLOOKUP(M66,F417:G420,2,FALSE)</f>
        <v>Northeast</v>
      </c>
    </row>
    <row r="67" spans="1:14" ht="15.75">
      <c r="A67" s="62">
        <v>1132</v>
      </c>
      <c r="B67" s="63">
        <v>40004</v>
      </c>
      <c r="C67" s="64" t="s">
        <v>12</v>
      </c>
      <c r="D67" s="97">
        <v>35822</v>
      </c>
      <c r="E67" s="80">
        <f t="shared" si="0"/>
        <v>17.222115384615385</v>
      </c>
      <c r="F67" s="68">
        <f>ROUND(YEARFRAC(B67,F9),0)</f>
        <v>5</v>
      </c>
      <c r="G67" s="73">
        <v>12</v>
      </c>
      <c r="H67" s="74">
        <v>32</v>
      </c>
      <c r="I67" s="65"/>
      <c r="J67" s="66">
        <v>3</v>
      </c>
      <c r="K67" s="66">
        <v>1</v>
      </c>
      <c r="L67" s="66">
        <v>1</v>
      </c>
      <c r="M67" s="50" t="s">
        <v>51</v>
      </c>
      <c r="N67" s="50" t="str">
        <f>VLOOKUP(M67,F417:G420,2,FALSE)</f>
        <v>Northeast</v>
      </c>
    </row>
    <row r="68" spans="1:14" ht="15.75">
      <c r="A68" s="62">
        <v>1133</v>
      </c>
      <c r="B68" s="63">
        <v>39856</v>
      </c>
      <c r="C68" s="64" t="s">
        <v>16</v>
      </c>
      <c r="D68" s="97">
        <v>73337</v>
      </c>
      <c r="E68" s="80">
        <f t="shared" si="0"/>
        <v>35.258173076923079</v>
      </c>
      <c r="F68" s="68">
        <f>ROUND(YEARFRAC(B68,F9),0)</f>
        <v>6</v>
      </c>
      <c r="G68" s="73">
        <v>19</v>
      </c>
      <c r="H68" s="74">
        <v>58</v>
      </c>
      <c r="I68" s="65"/>
      <c r="J68" s="66">
        <v>4</v>
      </c>
      <c r="K68" s="66">
        <v>1</v>
      </c>
      <c r="L68" s="66">
        <v>1</v>
      </c>
      <c r="M68" s="50" t="s">
        <v>51</v>
      </c>
      <c r="N68" s="50" t="str">
        <f>VLOOKUP(M68,F417:G420,2,FALSE)</f>
        <v>Northeast</v>
      </c>
    </row>
    <row r="69" spans="1:14" ht="15.75">
      <c r="A69" s="62">
        <v>1136</v>
      </c>
      <c r="B69" s="63">
        <v>40891</v>
      </c>
      <c r="C69" s="64" t="s">
        <v>12</v>
      </c>
      <c r="D69" s="97">
        <v>32523</v>
      </c>
      <c r="E69" s="80">
        <f t="shared" si="0"/>
        <v>15.636057692307693</v>
      </c>
      <c r="F69" s="68">
        <f>ROUND(YEARFRAC(B69,F9),0)</f>
        <v>3</v>
      </c>
      <c r="G69" s="73">
        <v>12</v>
      </c>
      <c r="H69" s="74">
        <v>24</v>
      </c>
      <c r="I69" s="65"/>
      <c r="J69" s="66">
        <v>1</v>
      </c>
      <c r="K69" s="66">
        <v>1</v>
      </c>
      <c r="L69" s="66">
        <v>2</v>
      </c>
      <c r="M69" s="50" t="s">
        <v>52</v>
      </c>
      <c r="N69" s="50" t="str">
        <f>VLOOKUP(M69,F417:G420,2,FALSE)</f>
        <v>Midwest</v>
      </c>
    </row>
    <row r="70" spans="1:14" ht="15.75">
      <c r="A70" s="62">
        <v>1138</v>
      </c>
      <c r="B70" s="63">
        <v>40469</v>
      </c>
      <c r="C70" s="64" t="s">
        <v>13</v>
      </c>
      <c r="D70" s="97">
        <v>24017</v>
      </c>
      <c r="E70" s="80">
        <f t="shared" si="0"/>
        <v>11.546634615384615</v>
      </c>
      <c r="F70" s="68">
        <f>ROUND(YEARFRAC(B70,F9),0)</f>
        <v>4</v>
      </c>
      <c r="G70" s="73">
        <v>12</v>
      </c>
      <c r="H70" s="74">
        <v>24</v>
      </c>
      <c r="I70" s="65"/>
      <c r="J70" s="66">
        <v>4</v>
      </c>
      <c r="K70" s="66">
        <v>2</v>
      </c>
      <c r="L70" s="66">
        <v>1</v>
      </c>
      <c r="M70" s="50" t="s">
        <v>51</v>
      </c>
      <c r="N70" s="50" t="str">
        <f>VLOOKUP(M70,F417:G420,2,FALSE)</f>
        <v>Northeast</v>
      </c>
    </row>
    <row r="71" spans="1:14" ht="15.75">
      <c r="A71" s="62">
        <v>1138</v>
      </c>
      <c r="B71" s="67">
        <v>39550</v>
      </c>
      <c r="C71" s="64" t="s">
        <v>12</v>
      </c>
      <c r="D71" s="97">
        <v>44204</v>
      </c>
      <c r="E71" s="80">
        <f t="shared" si="0"/>
        <v>21.251923076923077</v>
      </c>
      <c r="F71" s="68">
        <f>ROUND(YEARFRAC(B71,F9),0)</f>
        <v>7</v>
      </c>
      <c r="G71" s="73">
        <v>12</v>
      </c>
      <c r="H71" s="74">
        <v>35</v>
      </c>
      <c r="I71" s="65"/>
      <c r="J71" s="66">
        <v>4</v>
      </c>
      <c r="K71" s="66">
        <v>1</v>
      </c>
      <c r="L71" s="66">
        <v>1</v>
      </c>
      <c r="M71" s="50" t="s">
        <v>51</v>
      </c>
      <c r="N71" s="50" t="str">
        <f>VLOOKUP(M71,F417:G420,2,FALSE)</f>
        <v>Northeast</v>
      </c>
    </row>
    <row r="72" spans="1:14" ht="15.75">
      <c r="A72" s="62">
        <v>1140</v>
      </c>
      <c r="B72" s="63">
        <v>40004</v>
      </c>
      <c r="C72" s="64" t="s">
        <v>12</v>
      </c>
      <c r="D72" s="97">
        <v>35934</v>
      </c>
      <c r="E72" s="80">
        <f t="shared" si="0"/>
        <v>17.275961538461537</v>
      </c>
      <c r="F72" s="68">
        <f>ROUND(YEARFRAC(B72,F9),0)</f>
        <v>5</v>
      </c>
      <c r="G72" s="73">
        <v>12</v>
      </c>
      <c r="H72" s="74">
        <v>32</v>
      </c>
      <c r="I72" s="65"/>
      <c r="J72" s="66">
        <v>2</v>
      </c>
      <c r="K72" s="66">
        <v>1</v>
      </c>
      <c r="L72" s="66">
        <v>1</v>
      </c>
      <c r="M72" s="50" t="s">
        <v>52</v>
      </c>
      <c r="N72" s="50" t="str">
        <f>VLOOKUP(M72,F417:G420,2,FALSE)</f>
        <v>Midwest</v>
      </c>
    </row>
    <row r="73" spans="1:14" ht="15.75">
      <c r="A73" s="62">
        <v>1141</v>
      </c>
      <c r="B73" s="63">
        <v>39982</v>
      </c>
      <c r="C73" s="64" t="s">
        <v>13</v>
      </c>
      <c r="D73" s="97">
        <v>25999</v>
      </c>
      <c r="E73" s="80">
        <f t="shared" si="0"/>
        <v>12.499519230769231</v>
      </c>
      <c r="F73" s="68">
        <f>ROUND(YEARFRAC(B73,F9),0)</f>
        <v>6</v>
      </c>
      <c r="G73" s="73">
        <v>12</v>
      </c>
      <c r="H73" s="74">
        <v>24</v>
      </c>
      <c r="I73" s="65"/>
      <c r="J73" s="66">
        <v>3</v>
      </c>
      <c r="K73" s="66">
        <v>1</v>
      </c>
      <c r="L73" s="66">
        <v>1</v>
      </c>
      <c r="M73" s="50" t="s">
        <v>52</v>
      </c>
      <c r="N73" s="50" t="str">
        <f>VLOOKUP(M73,F417:G420,2,FALSE)</f>
        <v>Midwest</v>
      </c>
    </row>
    <row r="74" spans="1:14" ht="15.75">
      <c r="A74" s="62">
        <v>1142</v>
      </c>
      <c r="B74" s="63">
        <v>39981</v>
      </c>
      <c r="C74" s="64" t="s">
        <v>12</v>
      </c>
      <c r="D74" s="97">
        <v>36901</v>
      </c>
      <c r="E74" s="80">
        <f t="shared" si="0"/>
        <v>17.740865384615386</v>
      </c>
      <c r="F74" s="68">
        <f>ROUND(YEARFRAC(B74,F9),0)</f>
        <v>6</v>
      </c>
      <c r="G74" s="73">
        <v>12</v>
      </c>
      <c r="H74" s="74">
        <v>32</v>
      </c>
      <c r="I74" s="65"/>
      <c r="J74" s="66">
        <v>1</v>
      </c>
      <c r="K74" s="66">
        <v>1</v>
      </c>
      <c r="L74" s="66">
        <v>1</v>
      </c>
      <c r="M74" s="50" t="s">
        <v>51</v>
      </c>
      <c r="N74" s="50" t="str">
        <f>VLOOKUP(M74,F417:G420,2,FALSE)</f>
        <v>Northeast</v>
      </c>
    </row>
    <row r="75" spans="1:14" ht="15.75">
      <c r="A75" s="62">
        <v>1145</v>
      </c>
      <c r="B75" s="63">
        <v>39860</v>
      </c>
      <c r="C75" s="64" t="s">
        <v>13</v>
      </c>
      <c r="D75" s="97">
        <v>25131</v>
      </c>
      <c r="E75" s="80">
        <f t="shared" si="0"/>
        <v>12.082211538461538</v>
      </c>
      <c r="F75" s="68">
        <f>ROUND(YEARFRAC(B75,F9),0)</f>
        <v>6</v>
      </c>
      <c r="G75" s="73">
        <v>12</v>
      </c>
      <c r="H75" s="74">
        <v>24</v>
      </c>
      <c r="I75" s="65"/>
      <c r="J75" s="66">
        <v>2</v>
      </c>
      <c r="K75" s="66">
        <v>1</v>
      </c>
      <c r="L75" s="66">
        <v>2</v>
      </c>
      <c r="M75" s="50" t="s">
        <v>52</v>
      </c>
      <c r="N75" s="50" t="str">
        <f>VLOOKUP(M75,F417:G420,2,FALSE)</f>
        <v>Midwest</v>
      </c>
    </row>
    <row r="76" spans="1:14" ht="15.75">
      <c r="A76" s="62">
        <v>1145</v>
      </c>
      <c r="B76" s="63">
        <v>40122</v>
      </c>
      <c r="C76" s="64" t="s">
        <v>12</v>
      </c>
      <c r="D76" s="97">
        <v>34680</v>
      </c>
      <c r="E76" s="80">
        <f t="shared" ref="E76:E139" si="1">D76/Annual_Hrs</f>
        <v>16.673076923076923</v>
      </c>
      <c r="F76" s="68">
        <f>ROUND(YEARFRAC(B76,F9),0)</f>
        <v>5</v>
      </c>
      <c r="G76" s="73">
        <v>12</v>
      </c>
      <c r="H76" s="74">
        <v>29</v>
      </c>
      <c r="I76" s="65"/>
      <c r="J76" s="66">
        <v>1</v>
      </c>
      <c r="K76" s="66">
        <v>1</v>
      </c>
      <c r="L76" s="66">
        <v>2</v>
      </c>
      <c r="M76" s="50" t="s">
        <v>48</v>
      </c>
      <c r="N76" s="50" t="str">
        <f>VLOOKUP(M76,F417:G420,2,FALSE)</f>
        <v>C-Plains</v>
      </c>
    </row>
    <row r="77" spans="1:14" ht="15.75">
      <c r="A77" s="62">
        <v>1145</v>
      </c>
      <c r="B77" s="63">
        <v>38245</v>
      </c>
      <c r="C77" s="64" t="s">
        <v>12</v>
      </c>
      <c r="D77" s="97">
        <v>53327</v>
      </c>
      <c r="E77" s="80">
        <f t="shared" si="1"/>
        <v>25.637980769230769</v>
      </c>
      <c r="F77" s="68">
        <f>ROUND(YEARFRAC(B77,F9),0)</f>
        <v>10</v>
      </c>
      <c r="G77" s="73">
        <v>12</v>
      </c>
      <c r="H77" s="74">
        <v>45</v>
      </c>
      <c r="I77" s="65" t="str">
        <f>IF(F77&gt;=10,"Yes","No")</f>
        <v>Yes</v>
      </c>
      <c r="J77" s="66">
        <v>3</v>
      </c>
      <c r="K77" s="66">
        <v>1</v>
      </c>
      <c r="L77" s="66">
        <v>1</v>
      </c>
      <c r="M77" s="50" t="s">
        <v>52</v>
      </c>
      <c r="N77" s="50" t="str">
        <f>VLOOKUP(M77,F417:G420,2,FALSE)</f>
        <v>Midwest</v>
      </c>
    </row>
    <row r="78" spans="1:14" ht="15.75">
      <c r="A78" s="62">
        <v>1150</v>
      </c>
      <c r="B78" s="63">
        <v>41390</v>
      </c>
      <c r="C78" s="64" t="s">
        <v>12</v>
      </c>
      <c r="D78" s="97">
        <v>30808</v>
      </c>
      <c r="E78" s="80">
        <f t="shared" si="1"/>
        <v>14.811538461538461</v>
      </c>
      <c r="F78" s="68">
        <f>ROUND(YEARFRAC(B78,F9),0)</f>
        <v>2</v>
      </c>
      <c r="G78" s="73">
        <v>12</v>
      </c>
      <c r="H78" s="74">
        <v>21</v>
      </c>
      <c r="I78" s="65"/>
      <c r="J78" s="66">
        <v>1</v>
      </c>
      <c r="K78" s="66">
        <v>1</v>
      </c>
      <c r="L78" s="66">
        <v>2</v>
      </c>
      <c r="M78" s="50" t="s">
        <v>52</v>
      </c>
      <c r="N78" s="50" t="str">
        <f>VLOOKUP(M78,F417:G420,2,FALSE)</f>
        <v>Midwest</v>
      </c>
    </row>
    <row r="79" spans="1:14" ht="15.75">
      <c r="A79" s="62">
        <v>1153</v>
      </c>
      <c r="B79" s="63">
        <v>40944</v>
      </c>
      <c r="C79" s="64" t="s">
        <v>18</v>
      </c>
      <c r="D79" s="97">
        <v>66843</v>
      </c>
      <c r="E79" s="80">
        <f t="shared" si="1"/>
        <v>32.136057692307695</v>
      </c>
      <c r="F79" s="68">
        <f>ROUND(YEARFRAC(B79,F9),0)</f>
        <v>3</v>
      </c>
      <c r="G79" s="73">
        <v>12</v>
      </c>
      <c r="H79" s="74">
        <v>30</v>
      </c>
      <c r="I79" s="65"/>
      <c r="J79" s="66">
        <v>3</v>
      </c>
      <c r="K79" s="66">
        <v>1</v>
      </c>
      <c r="L79" s="66">
        <v>1</v>
      </c>
      <c r="M79" s="50" t="s">
        <v>52</v>
      </c>
      <c r="N79" s="50" t="str">
        <f>VLOOKUP(M79,F417:G420,2,FALSE)</f>
        <v>Midwest</v>
      </c>
    </row>
    <row r="80" spans="1:14" ht="15.75">
      <c r="A80" s="62">
        <v>1156</v>
      </c>
      <c r="B80" s="63">
        <v>40684</v>
      </c>
      <c r="C80" s="64" t="s">
        <v>12</v>
      </c>
      <c r="D80" s="97">
        <v>33395</v>
      </c>
      <c r="E80" s="80">
        <f t="shared" si="1"/>
        <v>16.05528846153846</v>
      </c>
      <c r="F80" s="68">
        <f>ROUND(YEARFRAC(B80,F9),0)</f>
        <v>4</v>
      </c>
      <c r="G80" s="73">
        <v>12</v>
      </c>
      <c r="H80" s="74">
        <v>26</v>
      </c>
      <c r="I80" s="65"/>
      <c r="J80" s="66">
        <v>3</v>
      </c>
      <c r="K80" s="66">
        <v>1</v>
      </c>
      <c r="L80" s="66">
        <v>2</v>
      </c>
      <c r="M80" s="50" t="s">
        <v>52</v>
      </c>
      <c r="N80" s="50" t="str">
        <f>VLOOKUP(M80,F417:G420,2,FALSE)</f>
        <v>Midwest</v>
      </c>
    </row>
    <row r="81" spans="1:14" ht="15.75">
      <c r="A81" s="62">
        <v>1167</v>
      </c>
      <c r="B81" s="63">
        <v>40862</v>
      </c>
      <c r="C81" s="64" t="s">
        <v>12</v>
      </c>
      <c r="D81" s="97">
        <v>32766</v>
      </c>
      <c r="E81" s="80">
        <f t="shared" si="1"/>
        <v>15.752884615384616</v>
      </c>
      <c r="F81" s="68">
        <f>ROUND(YEARFRAC(B81,F9),0)</f>
        <v>3</v>
      </c>
      <c r="G81" s="73">
        <v>12</v>
      </c>
      <c r="H81" s="74">
        <v>24</v>
      </c>
      <c r="I81" s="65"/>
      <c r="J81" s="66">
        <v>3</v>
      </c>
      <c r="K81" s="66">
        <v>1</v>
      </c>
      <c r="L81" s="66">
        <v>1</v>
      </c>
      <c r="M81" s="50" t="s">
        <v>51</v>
      </c>
      <c r="N81" s="50" t="str">
        <f>VLOOKUP(M81,F417:G420,2,FALSE)</f>
        <v>Northeast</v>
      </c>
    </row>
    <row r="82" spans="1:14" ht="15.75">
      <c r="A82" s="62">
        <v>1169</v>
      </c>
      <c r="B82" s="63">
        <v>39835</v>
      </c>
      <c r="C82" s="64" t="s">
        <v>12</v>
      </c>
      <c r="D82" s="97">
        <v>40871</v>
      </c>
      <c r="E82" s="80">
        <f t="shared" si="1"/>
        <v>19.649519230769229</v>
      </c>
      <c r="F82" s="68">
        <f>ROUND(YEARFRAC(B82,F9),0)</f>
        <v>6</v>
      </c>
      <c r="G82" s="73">
        <v>12</v>
      </c>
      <c r="H82" s="74">
        <v>34</v>
      </c>
      <c r="I82" s="65"/>
      <c r="J82" s="66">
        <v>3</v>
      </c>
      <c r="K82" s="66">
        <v>1</v>
      </c>
      <c r="L82" s="66">
        <v>1</v>
      </c>
      <c r="M82" s="50" t="s">
        <v>51</v>
      </c>
      <c r="N82" s="50" t="str">
        <f>VLOOKUP(M82,F417:G420,2,FALSE)</f>
        <v>Northeast</v>
      </c>
    </row>
    <row r="83" spans="1:14" ht="15.75">
      <c r="A83" s="62">
        <v>1175</v>
      </c>
      <c r="B83" s="63">
        <v>37524</v>
      </c>
      <c r="C83" s="64" t="s">
        <v>12</v>
      </c>
      <c r="D83" s="97">
        <v>54886</v>
      </c>
      <c r="E83" s="80">
        <f t="shared" si="1"/>
        <v>26.387499999999999</v>
      </c>
      <c r="F83" s="68">
        <f>ROUND(YEARFRAC(B83,F9),0)</f>
        <v>12</v>
      </c>
      <c r="G83" s="73">
        <v>14</v>
      </c>
      <c r="H83" s="74">
        <v>48</v>
      </c>
      <c r="I83" s="65" t="str">
        <f>IF(F83&gt;=10,"Yes","No")</f>
        <v>Yes</v>
      </c>
      <c r="J83" s="66">
        <v>3</v>
      </c>
      <c r="K83" s="66">
        <v>1</v>
      </c>
      <c r="L83" s="66">
        <v>1</v>
      </c>
      <c r="M83" s="50" t="s">
        <v>48</v>
      </c>
      <c r="N83" s="50" t="str">
        <f>VLOOKUP(M83,F417:G420,2,FALSE)</f>
        <v>C-Plains</v>
      </c>
    </row>
    <row r="84" spans="1:14" ht="15.75">
      <c r="A84" s="62">
        <v>1180</v>
      </c>
      <c r="B84" s="63">
        <v>38376</v>
      </c>
      <c r="C84" s="64" t="s">
        <v>12</v>
      </c>
      <c r="D84" s="97">
        <v>52469</v>
      </c>
      <c r="E84" s="80">
        <f t="shared" si="1"/>
        <v>25.225480769230771</v>
      </c>
      <c r="F84" s="68">
        <f>ROUND(YEARFRAC(B84,F9),0)</f>
        <v>10</v>
      </c>
      <c r="G84" s="73">
        <v>12</v>
      </c>
      <c r="H84" s="74">
        <v>45</v>
      </c>
      <c r="I84" s="65"/>
      <c r="J84" s="66">
        <v>1</v>
      </c>
      <c r="K84" s="66">
        <v>1</v>
      </c>
      <c r="L84" s="66">
        <v>1</v>
      </c>
      <c r="M84" s="50" t="s">
        <v>48</v>
      </c>
      <c r="N84" s="50" t="str">
        <f>VLOOKUP(M84,F417:G420,2,FALSE)</f>
        <v>C-Plains</v>
      </c>
    </row>
    <row r="85" spans="1:14" ht="15.75">
      <c r="A85" s="62">
        <v>1185</v>
      </c>
      <c r="B85" s="63">
        <v>39919</v>
      </c>
      <c r="C85" s="64" t="s">
        <v>12</v>
      </c>
      <c r="D85" s="97">
        <v>37914</v>
      </c>
      <c r="E85" s="80">
        <f t="shared" si="1"/>
        <v>18.227884615384614</v>
      </c>
      <c r="F85" s="68">
        <f>ROUND(YEARFRAC(B85,F9),0)</f>
        <v>6</v>
      </c>
      <c r="G85" s="73">
        <v>12</v>
      </c>
      <c r="H85" s="74">
        <v>33</v>
      </c>
      <c r="I85" s="65"/>
      <c r="J85" s="66">
        <v>1</v>
      </c>
      <c r="K85" s="66">
        <v>1</v>
      </c>
      <c r="L85" s="66">
        <v>1</v>
      </c>
      <c r="M85" s="50" t="s">
        <v>51</v>
      </c>
      <c r="N85" s="50" t="str">
        <f>VLOOKUP(M85,F417:G420,2,FALSE)</f>
        <v>Northeast</v>
      </c>
    </row>
    <row r="86" spans="1:14" ht="15.75">
      <c r="A86" s="62">
        <v>1186</v>
      </c>
      <c r="B86" s="63">
        <v>38578</v>
      </c>
      <c r="C86" s="64" t="s">
        <v>12</v>
      </c>
      <c r="D86" s="97">
        <v>50636</v>
      </c>
      <c r="E86" s="80">
        <f t="shared" si="1"/>
        <v>24.344230769230769</v>
      </c>
      <c r="F86" s="68">
        <f>ROUND(YEARFRAC(B86,F9),0)</f>
        <v>9</v>
      </c>
      <c r="G86" s="73">
        <v>12</v>
      </c>
      <c r="H86" s="74">
        <v>43</v>
      </c>
      <c r="I86" s="65"/>
      <c r="J86" s="66">
        <v>3</v>
      </c>
      <c r="K86" s="66">
        <v>1</v>
      </c>
      <c r="L86" s="66">
        <v>1</v>
      </c>
      <c r="M86" s="50" t="s">
        <v>48</v>
      </c>
      <c r="N86" s="50" t="str">
        <f>VLOOKUP(M86,F417:G420,2,FALSE)</f>
        <v>C-Plains</v>
      </c>
    </row>
    <row r="87" spans="1:14" ht="15.75">
      <c r="A87" s="62">
        <v>1188</v>
      </c>
      <c r="B87" s="63">
        <v>39949</v>
      </c>
      <c r="C87" s="64" t="s">
        <v>64</v>
      </c>
      <c r="D87" s="97">
        <v>83198</v>
      </c>
      <c r="E87" s="80">
        <f t="shared" si="1"/>
        <v>39.999038461538461</v>
      </c>
      <c r="F87" s="68">
        <f>ROUND(YEARFRAC(B87,F9),0)</f>
        <v>6</v>
      </c>
      <c r="G87" s="73">
        <v>19</v>
      </c>
      <c r="H87" s="74">
        <v>38</v>
      </c>
      <c r="I87" s="65"/>
      <c r="J87" s="66">
        <v>3</v>
      </c>
      <c r="K87" s="66">
        <v>1</v>
      </c>
      <c r="L87" s="66">
        <v>1</v>
      </c>
      <c r="M87" s="50" t="s">
        <v>52</v>
      </c>
      <c r="N87" s="50" t="str">
        <f>VLOOKUP(M87,F417:G420,2,FALSE)</f>
        <v>Midwest</v>
      </c>
    </row>
    <row r="88" spans="1:14" ht="15.75">
      <c r="A88" s="62">
        <v>1189</v>
      </c>
      <c r="B88" s="63">
        <v>40221</v>
      </c>
      <c r="C88" s="64" t="s">
        <v>16</v>
      </c>
      <c r="D88" s="97">
        <v>70520</v>
      </c>
      <c r="E88" s="80">
        <f t="shared" si="1"/>
        <v>33.903846153846153</v>
      </c>
      <c r="F88" s="68">
        <f>ROUND(YEARFRAC(B88,F9),0)</f>
        <v>5</v>
      </c>
      <c r="G88" s="73">
        <v>16</v>
      </c>
      <c r="H88" s="74">
        <v>40</v>
      </c>
      <c r="I88" s="65"/>
      <c r="J88" s="66">
        <v>2</v>
      </c>
      <c r="K88" s="66">
        <v>2</v>
      </c>
      <c r="L88" s="66">
        <v>1</v>
      </c>
      <c r="M88" s="50" t="s">
        <v>51</v>
      </c>
      <c r="N88" s="50" t="str">
        <f>VLOOKUP(M88,F417:G420,2,FALSE)</f>
        <v>Northeast</v>
      </c>
    </row>
    <row r="89" spans="1:14" ht="15.75">
      <c r="A89" s="62">
        <v>1190</v>
      </c>
      <c r="B89" s="67">
        <v>37385</v>
      </c>
      <c r="C89" s="64" t="s">
        <v>12</v>
      </c>
      <c r="D89" s="97">
        <v>55716</v>
      </c>
      <c r="E89" s="80">
        <f t="shared" si="1"/>
        <v>26.786538461538463</v>
      </c>
      <c r="F89" s="68">
        <f>ROUND(YEARFRAC(B89,F9),0)</f>
        <v>13</v>
      </c>
      <c r="G89" s="73">
        <v>12</v>
      </c>
      <c r="H89" s="74">
        <v>48</v>
      </c>
      <c r="I89" s="65" t="str">
        <f>IF(F89&gt;=10,"Yes","No")</f>
        <v>Yes</v>
      </c>
      <c r="J89" s="66">
        <v>1</v>
      </c>
      <c r="K89" s="66">
        <v>1</v>
      </c>
      <c r="L89" s="66">
        <v>1</v>
      </c>
      <c r="M89" s="50" t="s">
        <v>52</v>
      </c>
      <c r="N89" s="50" t="str">
        <f>VLOOKUP(M89,F417:G420,2,FALSE)</f>
        <v>Midwest</v>
      </c>
    </row>
    <row r="90" spans="1:14" ht="15.75">
      <c r="A90" s="62">
        <v>1190</v>
      </c>
      <c r="B90" s="67">
        <v>36403</v>
      </c>
      <c r="C90" s="64" t="s">
        <v>12</v>
      </c>
      <c r="D90" s="97">
        <v>59147</v>
      </c>
      <c r="E90" s="80">
        <f t="shared" si="1"/>
        <v>28.436057692307692</v>
      </c>
      <c r="F90" s="68">
        <f>ROUND(YEARFRAC(B90,F9),0)</f>
        <v>15</v>
      </c>
      <c r="G90" s="73">
        <v>14</v>
      </c>
      <c r="H90" s="74">
        <v>53</v>
      </c>
      <c r="I90" s="65" t="str">
        <f>IF(F90&gt;=10,"Yes","No")</f>
        <v>Yes</v>
      </c>
      <c r="J90" s="66">
        <v>1</v>
      </c>
      <c r="K90" s="66">
        <v>1</v>
      </c>
      <c r="L90" s="66">
        <v>1</v>
      </c>
      <c r="M90" s="50" t="s">
        <v>52</v>
      </c>
      <c r="N90" s="50" t="str">
        <f>VLOOKUP(M90,F417:G420,2,FALSE)</f>
        <v>Midwest</v>
      </c>
    </row>
    <row r="91" spans="1:14" ht="15.75">
      <c r="A91" s="62">
        <v>1196</v>
      </c>
      <c r="B91" s="63">
        <v>40064</v>
      </c>
      <c r="C91" s="64" t="s">
        <v>12</v>
      </c>
      <c r="D91" s="97">
        <v>35327</v>
      </c>
      <c r="E91" s="80">
        <f t="shared" si="1"/>
        <v>16.984134615384615</v>
      </c>
      <c r="F91" s="68">
        <f>ROUND(YEARFRAC(B91,F9),0)</f>
        <v>5</v>
      </c>
      <c r="G91" s="73">
        <v>12</v>
      </c>
      <c r="H91" s="74">
        <v>30</v>
      </c>
      <c r="I91" s="65"/>
      <c r="J91" s="66">
        <v>3</v>
      </c>
      <c r="K91" s="66">
        <v>1</v>
      </c>
      <c r="L91" s="66">
        <v>1</v>
      </c>
      <c r="M91" s="50" t="s">
        <v>52</v>
      </c>
      <c r="N91" s="50" t="str">
        <f>VLOOKUP(M91,F417:G420,2,FALSE)</f>
        <v>Midwest</v>
      </c>
    </row>
    <row r="92" spans="1:14" ht="15.75">
      <c r="A92" s="62">
        <v>1198</v>
      </c>
      <c r="B92" s="63">
        <v>40438</v>
      </c>
      <c r="C92" s="64" t="s">
        <v>13</v>
      </c>
      <c r="D92" s="97">
        <v>23484</v>
      </c>
      <c r="E92" s="80">
        <f t="shared" si="1"/>
        <v>11.290384615384616</v>
      </c>
      <c r="F92" s="68">
        <f>ROUND(YEARFRAC(B92,F9),0)</f>
        <v>4</v>
      </c>
      <c r="G92" s="73">
        <v>12</v>
      </c>
      <c r="H92" s="74">
        <v>22</v>
      </c>
      <c r="I92" s="65"/>
      <c r="J92" s="66">
        <v>1</v>
      </c>
      <c r="K92" s="66">
        <v>1</v>
      </c>
      <c r="L92" s="66">
        <v>1</v>
      </c>
      <c r="M92" s="50" t="s">
        <v>51</v>
      </c>
      <c r="N92" s="50" t="str">
        <f>VLOOKUP(M92,F417:G420,2,FALSE)</f>
        <v>Northeast</v>
      </c>
    </row>
    <row r="93" spans="1:14" ht="15.75">
      <c r="A93" s="62">
        <v>1201</v>
      </c>
      <c r="B93" s="63">
        <v>39661</v>
      </c>
      <c r="C93" s="64" t="s">
        <v>12</v>
      </c>
      <c r="D93" s="97">
        <v>43003</v>
      </c>
      <c r="E93" s="80">
        <f t="shared" si="1"/>
        <v>20.674519230769231</v>
      </c>
      <c r="F93" s="68">
        <f>ROUND(YEARFRAC(B93,F9),0)</f>
        <v>6</v>
      </c>
      <c r="G93" s="73">
        <v>12</v>
      </c>
      <c r="H93" s="74">
        <v>35</v>
      </c>
      <c r="I93" s="65"/>
      <c r="J93" s="66">
        <v>3</v>
      </c>
      <c r="K93" s="66">
        <v>1</v>
      </c>
      <c r="L93" s="66">
        <v>1</v>
      </c>
      <c r="M93" s="50" t="s">
        <v>52</v>
      </c>
      <c r="N93" s="50" t="str">
        <f>VLOOKUP(M93,F417:G420,2,FALSE)</f>
        <v>Midwest</v>
      </c>
    </row>
    <row r="94" spans="1:14" ht="15.75">
      <c r="A94" s="62">
        <v>1202</v>
      </c>
      <c r="B94" s="63">
        <v>36234</v>
      </c>
      <c r="C94" s="64" t="s">
        <v>27</v>
      </c>
      <c r="D94" s="97">
        <v>85123</v>
      </c>
      <c r="E94" s="80">
        <f t="shared" si="1"/>
        <v>40.924519230769228</v>
      </c>
      <c r="F94" s="68">
        <f>ROUND(YEARFRAC(B94,F9),0)</f>
        <v>16</v>
      </c>
      <c r="G94" s="73">
        <v>16</v>
      </c>
      <c r="H94" s="74">
        <v>48</v>
      </c>
      <c r="I94" s="65" t="str">
        <f>IF(F94&gt;=10,"Yes","No")</f>
        <v>Yes</v>
      </c>
      <c r="J94" s="66">
        <v>3</v>
      </c>
      <c r="K94" s="66">
        <v>1</v>
      </c>
      <c r="L94" s="66">
        <v>1</v>
      </c>
      <c r="M94" s="50" t="s">
        <v>51</v>
      </c>
      <c r="N94" s="50" t="str">
        <f>VLOOKUP(M94,F417:G420,2,FALSE)</f>
        <v>Northeast</v>
      </c>
    </row>
    <row r="95" spans="1:14" ht="15.75">
      <c r="A95" s="62">
        <v>1210</v>
      </c>
      <c r="B95" s="63">
        <v>38970</v>
      </c>
      <c r="C95" s="64" t="s">
        <v>12</v>
      </c>
      <c r="D95" s="97">
        <v>50133</v>
      </c>
      <c r="E95" s="80">
        <f t="shared" si="1"/>
        <v>24.102403846153845</v>
      </c>
      <c r="F95" s="68">
        <f>ROUND(YEARFRAC(B95,F9),0)</f>
        <v>8</v>
      </c>
      <c r="G95" s="73">
        <v>12</v>
      </c>
      <c r="H95" s="74">
        <v>40</v>
      </c>
      <c r="I95" s="65"/>
      <c r="J95" s="66">
        <v>3</v>
      </c>
      <c r="K95" s="66">
        <v>1</v>
      </c>
      <c r="L95" s="66">
        <v>1</v>
      </c>
      <c r="M95" s="50" t="s">
        <v>48</v>
      </c>
      <c r="N95" s="50" t="str">
        <f>VLOOKUP(M95,F417:G420,2,FALSE)</f>
        <v>C-Plains</v>
      </c>
    </row>
    <row r="96" spans="1:14" ht="15.75">
      <c r="A96" s="62">
        <v>1215</v>
      </c>
      <c r="B96" s="63">
        <v>39208</v>
      </c>
      <c r="C96" s="64" t="s">
        <v>64</v>
      </c>
      <c r="D96" s="97">
        <v>86673</v>
      </c>
      <c r="E96" s="80">
        <f t="shared" si="1"/>
        <v>41.669711538461542</v>
      </c>
      <c r="F96" s="68">
        <f>ROUND(YEARFRAC(B96,F9),0)</f>
        <v>8</v>
      </c>
      <c r="G96" s="73">
        <v>19</v>
      </c>
      <c r="H96" s="74">
        <v>43</v>
      </c>
      <c r="I96" s="65"/>
      <c r="J96" s="66">
        <v>2</v>
      </c>
      <c r="K96" s="66">
        <v>1</v>
      </c>
      <c r="L96" s="66">
        <v>1</v>
      </c>
      <c r="M96" s="50" t="s">
        <v>51</v>
      </c>
      <c r="N96" s="50" t="str">
        <f>VLOOKUP(M96,F417:G420,2,FALSE)</f>
        <v>Northeast</v>
      </c>
    </row>
    <row r="97" spans="1:14" ht="15.75">
      <c r="A97" s="62">
        <v>1216</v>
      </c>
      <c r="B97" s="63">
        <v>38910</v>
      </c>
      <c r="C97" s="64" t="s">
        <v>20</v>
      </c>
      <c r="D97" s="97">
        <v>52654</v>
      </c>
      <c r="E97" s="80">
        <f t="shared" si="1"/>
        <v>25.314423076923077</v>
      </c>
      <c r="F97" s="68">
        <f>ROUND(YEARFRAC(B97,F9),0)</f>
        <v>8</v>
      </c>
      <c r="G97" s="73">
        <v>14</v>
      </c>
      <c r="H97" s="74">
        <v>40</v>
      </c>
      <c r="I97" s="65"/>
      <c r="J97" s="66">
        <v>1</v>
      </c>
      <c r="K97" s="66">
        <v>1</v>
      </c>
      <c r="L97" s="66">
        <v>1</v>
      </c>
      <c r="M97" s="50" t="s">
        <v>51</v>
      </c>
      <c r="N97" s="50" t="str">
        <f>VLOOKUP(M97,F417:G420,2,FALSE)</f>
        <v>Northeast</v>
      </c>
    </row>
    <row r="98" spans="1:14" ht="15.75">
      <c r="A98" s="62">
        <v>1218</v>
      </c>
      <c r="B98" s="63">
        <v>40017</v>
      </c>
      <c r="C98" s="64" t="s">
        <v>15</v>
      </c>
      <c r="D98" s="97">
        <v>64504</v>
      </c>
      <c r="E98" s="80">
        <f t="shared" si="1"/>
        <v>31.011538461538461</v>
      </c>
      <c r="F98" s="68">
        <f>ROUND(YEARFRAC(B98,F9),0)</f>
        <v>5</v>
      </c>
      <c r="G98" s="73">
        <v>16</v>
      </c>
      <c r="H98" s="74">
        <v>34</v>
      </c>
      <c r="I98" s="65"/>
      <c r="J98" s="66">
        <v>1</v>
      </c>
      <c r="K98" s="66">
        <v>1</v>
      </c>
      <c r="L98" s="66">
        <v>2</v>
      </c>
      <c r="M98" s="50" t="s">
        <v>51</v>
      </c>
      <c r="N98" s="50" t="str">
        <f>VLOOKUP(M98,F417:G420,2,FALSE)</f>
        <v>Northeast</v>
      </c>
    </row>
    <row r="99" spans="1:14" ht="15.75">
      <c r="A99" s="62">
        <v>1220</v>
      </c>
      <c r="B99" s="63">
        <v>37545</v>
      </c>
      <c r="C99" s="64" t="s">
        <v>12</v>
      </c>
      <c r="D99" s="97">
        <v>54368</v>
      </c>
      <c r="E99" s="80">
        <f t="shared" si="1"/>
        <v>26.138461538461538</v>
      </c>
      <c r="F99" s="68">
        <f>ROUND(YEARFRAC(B99,F9),0)</f>
        <v>12</v>
      </c>
      <c r="G99" s="73">
        <v>12</v>
      </c>
      <c r="H99" s="74">
        <v>48</v>
      </c>
      <c r="I99" s="65" t="str">
        <f>IF(F99&gt;=10,"Yes","No")</f>
        <v>Yes</v>
      </c>
      <c r="J99" s="66">
        <v>3</v>
      </c>
      <c r="K99" s="66">
        <v>1</v>
      </c>
      <c r="L99" s="66">
        <v>1</v>
      </c>
      <c r="M99" s="50" t="s">
        <v>48</v>
      </c>
      <c r="N99" s="50" t="str">
        <f>VLOOKUP(M99,F417:G420,2,FALSE)</f>
        <v>C-Plains</v>
      </c>
    </row>
    <row r="100" spans="1:14" ht="15.75">
      <c r="A100" s="62">
        <v>1220</v>
      </c>
      <c r="B100" s="63">
        <v>36631</v>
      </c>
      <c r="C100" s="64" t="s">
        <v>18</v>
      </c>
      <c r="D100" s="97">
        <v>83377</v>
      </c>
      <c r="E100" s="80">
        <f t="shared" si="1"/>
        <v>40.085096153846152</v>
      </c>
      <c r="F100" s="68">
        <f>ROUND(YEARFRAC(B100,F9),0)</f>
        <v>15</v>
      </c>
      <c r="G100" s="73">
        <v>14</v>
      </c>
      <c r="H100" s="74">
        <v>55</v>
      </c>
      <c r="I100" s="65" t="str">
        <f>IF(F100&gt;=10,"Yes","No")</f>
        <v>Yes</v>
      </c>
      <c r="J100" s="66">
        <v>1</v>
      </c>
      <c r="K100" s="66">
        <v>2</v>
      </c>
      <c r="L100" s="66">
        <v>1</v>
      </c>
      <c r="M100" s="50" t="s">
        <v>52</v>
      </c>
      <c r="N100" s="50" t="str">
        <f>VLOOKUP(M100,F417:G420,2,FALSE)</f>
        <v>Midwest</v>
      </c>
    </row>
    <row r="101" spans="1:14" ht="15.75">
      <c r="A101" s="62">
        <v>1224</v>
      </c>
      <c r="B101" s="63">
        <v>41540</v>
      </c>
      <c r="C101" s="64" t="s">
        <v>64</v>
      </c>
      <c r="D101" s="97">
        <v>70886</v>
      </c>
      <c r="E101" s="80">
        <f t="shared" si="1"/>
        <v>34.079807692307689</v>
      </c>
      <c r="F101" s="68">
        <f>ROUND(YEARFRAC(B101,F9),0)</f>
        <v>1</v>
      </c>
      <c r="G101" s="73">
        <v>16</v>
      </c>
      <c r="H101" s="74">
        <v>30</v>
      </c>
      <c r="I101" s="65"/>
      <c r="J101" s="66">
        <v>2</v>
      </c>
      <c r="K101" s="66">
        <v>1</v>
      </c>
      <c r="L101" s="66">
        <v>1</v>
      </c>
      <c r="M101" s="50" t="s">
        <v>51</v>
      </c>
      <c r="N101" s="50" t="str">
        <f>VLOOKUP(M101,F417:G420,2,FALSE)</f>
        <v>Northeast</v>
      </c>
    </row>
    <row r="102" spans="1:14" ht="15.75">
      <c r="A102" s="62">
        <v>1226</v>
      </c>
      <c r="B102" s="63">
        <v>39235</v>
      </c>
      <c r="C102" s="64" t="s">
        <v>13</v>
      </c>
      <c r="D102" s="97">
        <v>27435</v>
      </c>
      <c r="E102" s="80">
        <f t="shared" si="1"/>
        <v>13.189903846153847</v>
      </c>
      <c r="F102" s="68">
        <f>ROUND(YEARFRAC(B102,F9),0)</f>
        <v>8</v>
      </c>
      <c r="G102" s="73">
        <v>12</v>
      </c>
      <c r="H102" s="74">
        <v>29</v>
      </c>
      <c r="I102" s="65"/>
      <c r="J102" s="66">
        <v>1</v>
      </c>
      <c r="K102" s="66">
        <v>1</v>
      </c>
      <c r="L102" s="66">
        <v>1</v>
      </c>
      <c r="M102" s="50" t="s">
        <v>52</v>
      </c>
      <c r="N102" s="50" t="str">
        <f>VLOOKUP(M102,F417:G420,2,FALSE)</f>
        <v>Midwest</v>
      </c>
    </row>
    <row r="103" spans="1:14" ht="15.75">
      <c r="A103" s="62">
        <v>1227</v>
      </c>
      <c r="B103" s="63">
        <v>36649</v>
      </c>
      <c r="C103" s="64" t="s">
        <v>29</v>
      </c>
      <c r="D103" s="97">
        <v>65234</v>
      </c>
      <c r="E103" s="80">
        <f t="shared" si="1"/>
        <v>31.362500000000001</v>
      </c>
      <c r="F103" s="68">
        <f>ROUND(YEARFRAC(B103,F9),0)</f>
        <v>15</v>
      </c>
      <c r="G103" s="73">
        <v>14</v>
      </c>
      <c r="H103" s="74">
        <v>45</v>
      </c>
      <c r="I103" s="65" t="str">
        <f>IF(F103&gt;=10,"Yes","No")</f>
        <v>Yes</v>
      </c>
      <c r="J103" s="66">
        <v>3</v>
      </c>
      <c r="K103" s="66">
        <v>1</v>
      </c>
      <c r="L103" s="66">
        <v>1</v>
      </c>
      <c r="M103" s="50" t="s">
        <v>52</v>
      </c>
      <c r="N103" s="50" t="str">
        <f>VLOOKUP(M103,F417:G420,2,FALSE)</f>
        <v>Midwest</v>
      </c>
    </row>
    <row r="104" spans="1:14" ht="15.75">
      <c r="A104" s="62">
        <v>1227</v>
      </c>
      <c r="B104" s="63">
        <v>38832</v>
      </c>
      <c r="C104" s="64" t="s">
        <v>12</v>
      </c>
      <c r="D104" s="97">
        <v>50320</v>
      </c>
      <c r="E104" s="80">
        <f t="shared" si="1"/>
        <v>24.192307692307693</v>
      </c>
      <c r="F104" s="68">
        <f>ROUND(YEARFRAC(B104,F9),0)</f>
        <v>9</v>
      </c>
      <c r="G104" s="73">
        <v>12</v>
      </c>
      <c r="H104" s="74">
        <v>41</v>
      </c>
      <c r="I104" s="65"/>
      <c r="J104" s="66">
        <v>3</v>
      </c>
      <c r="K104" s="66">
        <v>1</v>
      </c>
      <c r="L104" s="66">
        <v>2</v>
      </c>
      <c r="M104" s="50" t="s">
        <v>51</v>
      </c>
      <c r="N104" s="50" t="str">
        <f>VLOOKUP(M104,F417:G420,2,FALSE)</f>
        <v>Northeast</v>
      </c>
    </row>
    <row r="105" spans="1:14" ht="15.75">
      <c r="A105" s="62">
        <v>1232</v>
      </c>
      <c r="B105" s="63">
        <v>40371</v>
      </c>
      <c r="C105" s="64" t="s">
        <v>20</v>
      </c>
      <c r="D105" s="97">
        <v>37456</v>
      </c>
      <c r="E105" s="80">
        <f t="shared" si="1"/>
        <v>18.007692307692309</v>
      </c>
      <c r="F105" s="68">
        <f>ROUND(YEARFRAC(B105,F9),0)</f>
        <v>4</v>
      </c>
      <c r="G105" s="73">
        <v>12</v>
      </c>
      <c r="H105" s="74">
        <v>28</v>
      </c>
      <c r="I105" s="65"/>
      <c r="J105" s="66">
        <v>3</v>
      </c>
      <c r="K105" s="66">
        <v>1</v>
      </c>
      <c r="L105" s="66">
        <v>1</v>
      </c>
      <c r="M105" s="50" t="s">
        <v>52</v>
      </c>
      <c r="N105" s="50" t="str">
        <f>VLOOKUP(M105,F417:G420,2,FALSE)</f>
        <v>Midwest</v>
      </c>
    </row>
    <row r="106" spans="1:14" ht="15.75">
      <c r="A106" s="62">
        <v>1233</v>
      </c>
      <c r="B106" s="63">
        <v>41425</v>
      </c>
      <c r="C106" s="64" t="s">
        <v>12</v>
      </c>
      <c r="D106" s="97">
        <v>30577</v>
      </c>
      <c r="E106" s="80">
        <f t="shared" si="1"/>
        <v>14.700480769230769</v>
      </c>
      <c r="F106" s="68">
        <f>ROUND(YEARFRAC(B106,F9),0)</f>
        <v>2</v>
      </c>
      <c r="G106" s="73">
        <v>12</v>
      </c>
      <c r="H106" s="74">
        <v>21</v>
      </c>
      <c r="I106" s="65"/>
      <c r="J106" s="66">
        <v>3</v>
      </c>
      <c r="K106" s="66">
        <v>1</v>
      </c>
      <c r="L106" s="66">
        <v>2</v>
      </c>
      <c r="M106" s="50" t="s">
        <v>48</v>
      </c>
      <c r="N106" s="50" t="str">
        <f>VLOOKUP(M106,F417:G420,2,FALSE)</f>
        <v>C-Plains</v>
      </c>
    </row>
    <row r="107" spans="1:14" ht="15.75">
      <c r="A107" s="62">
        <v>1237</v>
      </c>
      <c r="B107" s="63">
        <v>39302</v>
      </c>
      <c r="C107" s="64" t="s">
        <v>12</v>
      </c>
      <c r="D107" s="97">
        <v>46904</v>
      </c>
      <c r="E107" s="80">
        <f t="shared" si="1"/>
        <v>22.55</v>
      </c>
      <c r="F107" s="68">
        <f>ROUND(YEARFRAC(B107,F9),0)</f>
        <v>7</v>
      </c>
      <c r="G107" s="73">
        <v>12</v>
      </c>
      <c r="H107" s="74">
        <v>38</v>
      </c>
      <c r="I107" s="65"/>
      <c r="J107" s="66">
        <v>1</v>
      </c>
      <c r="K107" s="66">
        <v>1</v>
      </c>
      <c r="L107" s="66">
        <v>1</v>
      </c>
      <c r="M107" s="50" t="s">
        <v>52</v>
      </c>
      <c r="N107" s="50" t="str">
        <f>VLOOKUP(M107,F417:G420,2,FALSE)</f>
        <v>Midwest</v>
      </c>
    </row>
    <row r="108" spans="1:14" ht="15.75">
      <c r="A108" s="62">
        <v>1246</v>
      </c>
      <c r="B108" s="63">
        <v>36734</v>
      </c>
      <c r="C108" s="64" t="s">
        <v>18</v>
      </c>
      <c r="D108" s="97">
        <v>82315</v>
      </c>
      <c r="E108" s="80">
        <f t="shared" si="1"/>
        <v>39.574519230769234</v>
      </c>
      <c r="F108" s="68">
        <f>ROUND(YEARFRAC(B108,F9),0)</f>
        <v>14</v>
      </c>
      <c r="G108" s="73">
        <v>12</v>
      </c>
      <c r="H108" s="74">
        <v>54</v>
      </c>
      <c r="I108" s="65" t="str">
        <f>IF(F108&gt;=10,"Yes","No")</f>
        <v>Yes</v>
      </c>
      <c r="J108" s="66">
        <v>3</v>
      </c>
      <c r="K108" s="66">
        <v>2</v>
      </c>
      <c r="L108" s="66">
        <v>1</v>
      </c>
      <c r="M108" s="50" t="s">
        <v>52</v>
      </c>
      <c r="N108" s="50" t="str">
        <f>VLOOKUP(M108,F417:G420,2,FALSE)</f>
        <v>Midwest</v>
      </c>
    </row>
    <row r="109" spans="1:14" ht="15.75">
      <c r="A109" s="62">
        <v>1248</v>
      </c>
      <c r="B109" s="63">
        <v>40019</v>
      </c>
      <c r="C109" s="64" t="s">
        <v>13</v>
      </c>
      <c r="D109" s="97">
        <v>26156</v>
      </c>
      <c r="E109" s="80">
        <f t="shared" si="1"/>
        <v>12.574999999999999</v>
      </c>
      <c r="F109" s="68">
        <f>ROUND(YEARFRAC(B109,F9),0)</f>
        <v>5</v>
      </c>
      <c r="G109" s="73">
        <v>12</v>
      </c>
      <c r="H109" s="74">
        <v>25</v>
      </c>
      <c r="I109" s="65"/>
      <c r="J109" s="66">
        <v>3</v>
      </c>
      <c r="K109" s="66">
        <v>1</v>
      </c>
      <c r="L109" s="66">
        <v>1</v>
      </c>
      <c r="M109" s="50" t="s">
        <v>48</v>
      </c>
      <c r="N109" s="50" t="str">
        <f>VLOOKUP(M109,F417:G420,2,FALSE)</f>
        <v>C-Plains</v>
      </c>
    </row>
    <row r="110" spans="1:14" ht="15.75">
      <c r="A110" s="62">
        <v>1254</v>
      </c>
      <c r="B110" s="63">
        <v>39846</v>
      </c>
      <c r="C110" s="64" t="s">
        <v>12</v>
      </c>
      <c r="D110" s="97">
        <v>39755</v>
      </c>
      <c r="E110" s="80">
        <f t="shared" si="1"/>
        <v>19.11298076923077</v>
      </c>
      <c r="F110" s="68">
        <f>ROUND(YEARFRAC(B110,F9),0)</f>
        <v>6</v>
      </c>
      <c r="G110" s="73">
        <v>12</v>
      </c>
      <c r="H110" s="74">
        <v>34</v>
      </c>
      <c r="I110" s="65"/>
      <c r="J110" s="66">
        <v>2</v>
      </c>
      <c r="K110" s="66">
        <v>1</v>
      </c>
      <c r="L110" s="66">
        <v>1</v>
      </c>
      <c r="M110" s="50" t="s">
        <v>51</v>
      </c>
      <c r="N110" s="50" t="str">
        <f>VLOOKUP(M110,F417:G420,2,FALSE)</f>
        <v>Northeast</v>
      </c>
    </row>
    <row r="111" spans="1:14" ht="15.75">
      <c r="A111" s="62">
        <v>1255</v>
      </c>
      <c r="B111" s="63">
        <v>39886</v>
      </c>
      <c r="C111" s="64" t="s">
        <v>13</v>
      </c>
      <c r="D111" s="97">
        <v>26621</v>
      </c>
      <c r="E111" s="80">
        <f t="shared" si="1"/>
        <v>12.798557692307693</v>
      </c>
      <c r="F111" s="68">
        <f>ROUND(YEARFRAC(B111,F9),0)</f>
        <v>6</v>
      </c>
      <c r="G111" s="73">
        <v>12</v>
      </c>
      <c r="H111" s="74">
        <v>27</v>
      </c>
      <c r="I111" s="65"/>
      <c r="J111" s="66">
        <v>3</v>
      </c>
      <c r="K111" s="66">
        <v>1</v>
      </c>
      <c r="L111" s="66">
        <v>2</v>
      </c>
      <c r="M111" s="50" t="s">
        <v>51</v>
      </c>
      <c r="N111" s="50" t="str">
        <f>VLOOKUP(M111,F417:G420,2,FALSE)</f>
        <v>Northeast</v>
      </c>
    </row>
    <row r="112" spans="1:14" ht="15.75">
      <c r="A112" s="62">
        <v>1257</v>
      </c>
      <c r="B112" s="63">
        <v>40034</v>
      </c>
      <c r="C112" s="64" t="s">
        <v>64</v>
      </c>
      <c r="D112" s="97">
        <v>85463</v>
      </c>
      <c r="E112" s="80">
        <f t="shared" si="1"/>
        <v>41.087980769230768</v>
      </c>
      <c r="F112" s="68">
        <f>ROUND(YEARFRAC(B112,F9),0)</f>
        <v>5</v>
      </c>
      <c r="G112" s="73">
        <v>19</v>
      </c>
      <c r="H112" s="74">
        <v>38</v>
      </c>
      <c r="I112" s="65"/>
      <c r="J112" s="66">
        <v>3</v>
      </c>
      <c r="K112" s="66">
        <v>1</v>
      </c>
      <c r="L112" s="66">
        <v>1</v>
      </c>
      <c r="M112" s="50" t="s">
        <v>48</v>
      </c>
      <c r="N112" s="50" t="str">
        <f>VLOOKUP(M112,F417:G420,2,FALSE)</f>
        <v>C-Plains</v>
      </c>
    </row>
    <row r="113" spans="1:14" ht="15.75">
      <c r="A113" s="62">
        <v>1257</v>
      </c>
      <c r="B113" s="63">
        <v>40248</v>
      </c>
      <c r="C113" s="64" t="s">
        <v>12</v>
      </c>
      <c r="D113" s="97">
        <v>34232</v>
      </c>
      <c r="E113" s="80">
        <f t="shared" si="1"/>
        <v>16.457692307692309</v>
      </c>
      <c r="F113" s="68">
        <f>ROUND(YEARFRAC(B113,F9),0)</f>
        <v>5</v>
      </c>
      <c r="G113" s="73">
        <v>12</v>
      </c>
      <c r="H113" s="74">
        <v>28</v>
      </c>
      <c r="I113" s="65"/>
      <c r="J113" s="66">
        <v>3</v>
      </c>
      <c r="K113" s="66">
        <v>1</v>
      </c>
      <c r="L113" s="66">
        <v>2</v>
      </c>
      <c r="M113" s="50" t="s">
        <v>51</v>
      </c>
      <c r="N113" s="50" t="str">
        <f>VLOOKUP(M113,F417:G420,2,FALSE)</f>
        <v>Northeast</v>
      </c>
    </row>
    <row r="114" spans="1:14" ht="15.75">
      <c r="A114" s="62">
        <v>1258</v>
      </c>
      <c r="B114" s="63">
        <v>37811</v>
      </c>
      <c r="C114" s="64" t="s">
        <v>18</v>
      </c>
      <c r="D114" s="97">
        <v>70234</v>
      </c>
      <c r="E114" s="80">
        <f t="shared" si="1"/>
        <v>33.76634615384615</v>
      </c>
      <c r="F114" s="68">
        <f>ROUND(YEARFRAC(B114,F9),0)</f>
        <v>11</v>
      </c>
      <c r="G114" s="73">
        <v>12</v>
      </c>
      <c r="H114" s="74">
        <v>46</v>
      </c>
      <c r="I114" s="65" t="str">
        <f>IF(F114&gt;=10,"Yes","No")</f>
        <v>Yes</v>
      </c>
      <c r="J114" s="66">
        <v>3</v>
      </c>
      <c r="K114" s="66">
        <v>1</v>
      </c>
      <c r="L114" s="66">
        <v>1</v>
      </c>
      <c r="M114" s="50" t="s">
        <v>48</v>
      </c>
      <c r="N114" s="50" t="str">
        <f>VLOOKUP(M114,F417:G420,2,FALSE)</f>
        <v>C-Plains</v>
      </c>
    </row>
    <row r="115" spans="1:14" ht="15.75">
      <c r="A115" s="62">
        <v>1261</v>
      </c>
      <c r="B115" s="63">
        <v>41377</v>
      </c>
      <c r="C115" s="64" t="s">
        <v>12</v>
      </c>
      <c r="D115" s="97">
        <v>30165</v>
      </c>
      <c r="E115" s="80">
        <f t="shared" si="1"/>
        <v>14.502403846153847</v>
      </c>
      <c r="F115" s="68">
        <f>ROUND(YEARFRAC(B115,F9),0)</f>
        <v>2</v>
      </c>
      <c r="G115" s="73">
        <v>12</v>
      </c>
      <c r="H115" s="74">
        <v>20</v>
      </c>
      <c r="I115" s="65"/>
      <c r="J115" s="66">
        <v>3</v>
      </c>
      <c r="K115" s="66">
        <v>1</v>
      </c>
      <c r="L115" s="66">
        <v>2</v>
      </c>
      <c r="M115" s="50" t="s">
        <v>52</v>
      </c>
      <c r="N115" s="50" t="str">
        <f>VLOOKUP(M115,F417:G420,2,FALSE)</f>
        <v>Midwest</v>
      </c>
    </row>
    <row r="116" spans="1:14" ht="15.75">
      <c r="A116" s="62">
        <v>1261</v>
      </c>
      <c r="B116" s="63">
        <v>39966</v>
      </c>
      <c r="C116" s="64" t="s">
        <v>18</v>
      </c>
      <c r="D116" s="97">
        <v>68014</v>
      </c>
      <c r="E116" s="80">
        <f t="shared" si="1"/>
        <v>32.699038461538464</v>
      </c>
      <c r="F116" s="68">
        <f>ROUND(YEARFRAC(B116,F9),0)</f>
        <v>6</v>
      </c>
      <c r="G116" s="73">
        <v>12</v>
      </c>
      <c r="H116" s="74">
        <v>33</v>
      </c>
      <c r="I116" s="65"/>
      <c r="J116" s="66">
        <v>1</v>
      </c>
      <c r="K116" s="66">
        <v>2</v>
      </c>
      <c r="L116" s="66">
        <v>2</v>
      </c>
      <c r="M116" s="50" t="s">
        <v>52</v>
      </c>
      <c r="N116" s="50" t="str">
        <f>VLOOKUP(M116,F417:G420,2,FALSE)</f>
        <v>Midwest</v>
      </c>
    </row>
    <row r="117" spans="1:14" ht="15.75">
      <c r="A117" s="62">
        <v>1265</v>
      </c>
      <c r="B117" s="63">
        <v>41337</v>
      </c>
      <c r="C117" s="64" t="s">
        <v>27</v>
      </c>
      <c r="D117" s="97">
        <v>29632</v>
      </c>
      <c r="E117" s="80">
        <f t="shared" si="1"/>
        <v>14.246153846153845</v>
      </c>
      <c r="F117" s="68">
        <f>ROUND(YEARFRAC(B117,F9),0)</f>
        <v>2</v>
      </c>
      <c r="G117" s="73">
        <v>16</v>
      </c>
      <c r="H117" s="74">
        <v>24</v>
      </c>
      <c r="I117" s="65"/>
      <c r="J117" s="66">
        <v>1</v>
      </c>
      <c r="K117" s="66">
        <v>1</v>
      </c>
      <c r="L117" s="66">
        <v>2</v>
      </c>
      <c r="M117" s="50" t="s">
        <v>48</v>
      </c>
      <c r="N117" s="50" t="str">
        <f>VLOOKUP(M117,F417:G420,2,FALSE)</f>
        <v>C-Plains</v>
      </c>
    </row>
    <row r="118" spans="1:14" ht="15.75">
      <c r="A118" s="62">
        <v>1265</v>
      </c>
      <c r="B118" s="63">
        <v>40732</v>
      </c>
      <c r="C118" s="64" t="s">
        <v>64</v>
      </c>
      <c r="D118" s="97">
        <v>85825</v>
      </c>
      <c r="E118" s="80">
        <f t="shared" si="1"/>
        <v>41.262019230769234</v>
      </c>
      <c r="F118" s="68">
        <f>ROUND(YEARFRAC(B118,F9),0)</f>
        <v>3</v>
      </c>
      <c r="G118" s="73">
        <v>19</v>
      </c>
      <c r="H118" s="74">
        <v>40</v>
      </c>
      <c r="I118" s="65"/>
      <c r="J118" s="66">
        <v>3</v>
      </c>
      <c r="K118" s="66">
        <v>2</v>
      </c>
      <c r="L118" s="66">
        <v>1</v>
      </c>
      <c r="M118" s="50" t="s">
        <v>48</v>
      </c>
      <c r="N118" s="50" t="str">
        <f>VLOOKUP(M118,F417:G420,2,FALSE)</f>
        <v>C-Plains</v>
      </c>
    </row>
    <row r="119" spans="1:14" ht="15.75">
      <c r="A119" s="62">
        <v>1267</v>
      </c>
      <c r="B119" s="67">
        <v>39483</v>
      </c>
      <c r="C119" s="64" t="s">
        <v>12</v>
      </c>
      <c r="D119" s="97">
        <v>44747</v>
      </c>
      <c r="E119" s="80">
        <f t="shared" si="1"/>
        <v>21.512980769230769</v>
      </c>
      <c r="F119" s="68">
        <f>ROUND(YEARFRAC(B119,F9),0)</f>
        <v>7</v>
      </c>
      <c r="G119" s="73">
        <v>12</v>
      </c>
      <c r="H119" s="74">
        <v>35</v>
      </c>
      <c r="I119" s="65"/>
      <c r="J119" s="66">
        <v>2</v>
      </c>
      <c r="K119" s="66">
        <v>1</v>
      </c>
      <c r="L119" s="66">
        <v>1</v>
      </c>
      <c r="M119" s="50" t="s">
        <v>52</v>
      </c>
      <c r="N119" s="50" t="str">
        <f>VLOOKUP(M119,F417:G420,2,FALSE)</f>
        <v>Midwest</v>
      </c>
    </row>
    <row r="120" spans="1:14" ht="15.75">
      <c r="A120" s="62">
        <v>1269</v>
      </c>
      <c r="B120" s="63">
        <v>39155</v>
      </c>
      <c r="C120" s="64" t="s">
        <v>15</v>
      </c>
      <c r="D120" s="97">
        <v>76577</v>
      </c>
      <c r="E120" s="80">
        <f t="shared" si="1"/>
        <v>36.815865384615385</v>
      </c>
      <c r="F120" s="68">
        <f>ROUND(YEARFRAC(B120,F9),0)</f>
        <v>8</v>
      </c>
      <c r="G120" s="73">
        <v>16</v>
      </c>
      <c r="H120" s="74">
        <v>39</v>
      </c>
      <c r="I120" s="65"/>
      <c r="J120" s="66">
        <v>3</v>
      </c>
      <c r="K120" s="66">
        <v>2</v>
      </c>
      <c r="L120" s="66">
        <v>2</v>
      </c>
      <c r="M120" s="50" t="s">
        <v>48</v>
      </c>
      <c r="N120" s="50" t="str">
        <f>VLOOKUP(M120,F417:G420,2,FALSE)</f>
        <v>C-Plains</v>
      </c>
    </row>
    <row r="121" spans="1:14" ht="15.75">
      <c r="A121" s="62">
        <v>1272</v>
      </c>
      <c r="B121" s="63">
        <v>40439</v>
      </c>
      <c r="C121" s="64" t="s">
        <v>35</v>
      </c>
      <c r="D121" s="97">
        <v>100515</v>
      </c>
      <c r="E121" s="80">
        <f t="shared" si="1"/>
        <v>48.324519230769234</v>
      </c>
      <c r="F121" s="68">
        <f>ROUND(YEARFRAC(B121,F9),0)</f>
        <v>4</v>
      </c>
      <c r="G121" s="73">
        <v>19</v>
      </c>
      <c r="H121" s="74">
        <v>52</v>
      </c>
      <c r="I121" s="65"/>
      <c r="J121" s="66">
        <v>3</v>
      </c>
      <c r="K121" s="66">
        <v>1</v>
      </c>
      <c r="L121" s="66">
        <v>1</v>
      </c>
      <c r="M121" s="50" t="s">
        <v>51</v>
      </c>
      <c r="N121" s="50" t="str">
        <f>VLOOKUP(M121,F417:G420,2,FALSE)</f>
        <v>Northeast</v>
      </c>
    </row>
    <row r="122" spans="1:14" ht="15.75">
      <c r="A122" s="62">
        <v>1276</v>
      </c>
      <c r="B122" s="63">
        <v>40667</v>
      </c>
      <c r="C122" s="64" t="s">
        <v>34</v>
      </c>
      <c r="D122" s="97">
        <v>65469</v>
      </c>
      <c r="E122" s="80">
        <f t="shared" si="1"/>
        <v>31.475480769230771</v>
      </c>
      <c r="F122" s="68">
        <f>ROUND(YEARFRAC(B122,F9),0)</f>
        <v>4</v>
      </c>
      <c r="G122" s="73">
        <v>16</v>
      </c>
      <c r="H122" s="74">
        <v>32</v>
      </c>
      <c r="I122" s="65"/>
      <c r="J122" s="66">
        <v>3</v>
      </c>
      <c r="K122" s="66">
        <v>1</v>
      </c>
      <c r="L122" s="66">
        <v>1</v>
      </c>
      <c r="M122" s="50" t="s">
        <v>48</v>
      </c>
      <c r="N122" s="50" t="str">
        <f>VLOOKUP(M122,F417:G420,2,FALSE)</f>
        <v>C-Plains</v>
      </c>
    </row>
    <row r="123" spans="1:14" ht="15.75">
      <c r="A123" s="62">
        <v>1279</v>
      </c>
      <c r="B123" s="63">
        <v>39375</v>
      </c>
      <c r="C123" s="64" t="s">
        <v>12</v>
      </c>
      <c r="D123" s="97">
        <v>46057</v>
      </c>
      <c r="E123" s="80">
        <f t="shared" si="1"/>
        <v>22.142788461538462</v>
      </c>
      <c r="F123" s="68">
        <f>ROUND(YEARFRAC(B123,F9),0)</f>
        <v>7</v>
      </c>
      <c r="G123" s="73">
        <v>12</v>
      </c>
      <c r="H123" s="74">
        <v>37</v>
      </c>
      <c r="I123" s="65"/>
      <c r="J123" s="66">
        <v>1</v>
      </c>
      <c r="K123" s="66">
        <v>1</v>
      </c>
      <c r="L123" s="66">
        <v>1</v>
      </c>
      <c r="M123" s="50" t="s">
        <v>48</v>
      </c>
      <c r="N123" s="50" t="str">
        <f>VLOOKUP(M123,F417:G420,2,FALSE)</f>
        <v>C-Plains</v>
      </c>
    </row>
    <row r="124" spans="1:14" ht="15.75">
      <c r="A124" s="62">
        <v>1280</v>
      </c>
      <c r="B124" s="63">
        <v>41862</v>
      </c>
      <c r="C124" s="64" t="s">
        <v>27</v>
      </c>
      <c r="D124" s="97">
        <v>29442</v>
      </c>
      <c r="E124" s="80">
        <f t="shared" si="1"/>
        <v>14.154807692307692</v>
      </c>
      <c r="F124" s="68">
        <f>ROUND(YEARFRAC(B124,F9),0)</f>
        <v>0</v>
      </c>
      <c r="G124" s="73">
        <v>16</v>
      </c>
      <c r="H124" s="74">
        <v>22</v>
      </c>
      <c r="I124" s="65"/>
      <c r="J124" s="66">
        <v>3</v>
      </c>
      <c r="K124" s="66">
        <v>2</v>
      </c>
      <c r="L124" s="66">
        <v>1</v>
      </c>
      <c r="M124" s="50" t="s">
        <v>51</v>
      </c>
      <c r="N124" s="50" t="str">
        <f>VLOOKUP(M124,F417:G420,2,FALSE)</f>
        <v>Northeast</v>
      </c>
    </row>
    <row r="125" spans="1:14" ht="15.75">
      <c r="A125" s="62">
        <v>1285</v>
      </c>
      <c r="B125" s="63">
        <v>40637</v>
      </c>
      <c r="C125" s="64" t="s">
        <v>31</v>
      </c>
      <c r="D125" s="97">
        <v>53064</v>
      </c>
      <c r="E125" s="80">
        <f t="shared" si="1"/>
        <v>25.511538461538461</v>
      </c>
      <c r="F125" s="68">
        <f>ROUND(YEARFRAC(B125,F9),0)</f>
        <v>4</v>
      </c>
      <c r="G125" s="73">
        <v>16</v>
      </c>
      <c r="H125" s="74">
        <v>26</v>
      </c>
      <c r="I125" s="65"/>
      <c r="J125" s="66">
        <v>3</v>
      </c>
      <c r="K125" s="66">
        <v>2</v>
      </c>
      <c r="L125" s="66">
        <v>2</v>
      </c>
      <c r="M125" s="50" t="s">
        <v>48</v>
      </c>
      <c r="N125" s="50" t="str">
        <f>VLOOKUP(M125,F417:G420,2,FALSE)</f>
        <v>C-Plains</v>
      </c>
    </row>
    <row r="126" spans="1:14" ht="15.75">
      <c r="A126" s="62">
        <v>1288</v>
      </c>
      <c r="B126" s="63">
        <v>40262</v>
      </c>
      <c r="C126" s="64" t="s">
        <v>16</v>
      </c>
      <c r="D126" s="97">
        <v>70708</v>
      </c>
      <c r="E126" s="80">
        <f t="shared" si="1"/>
        <v>33.994230769230768</v>
      </c>
      <c r="F126" s="68">
        <f>ROUND(YEARFRAC(B126,F9),0)</f>
        <v>5</v>
      </c>
      <c r="G126" s="73">
        <v>16</v>
      </c>
      <c r="H126" s="74">
        <v>41</v>
      </c>
      <c r="I126" s="65"/>
      <c r="J126" s="66">
        <v>1</v>
      </c>
      <c r="K126" s="66">
        <v>1</v>
      </c>
      <c r="L126" s="66">
        <v>2</v>
      </c>
      <c r="M126" s="50" t="s">
        <v>48</v>
      </c>
      <c r="N126" s="50" t="str">
        <f>VLOOKUP(M126,F417:G420,2,FALSE)</f>
        <v>C-Plains</v>
      </c>
    </row>
    <row r="127" spans="1:14" ht="15.75">
      <c r="A127" s="62">
        <v>1289</v>
      </c>
      <c r="B127" s="63">
        <v>40791</v>
      </c>
      <c r="C127" s="64" t="s">
        <v>13</v>
      </c>
      <c r="D127" s="97">
        <v>17943</v>
      </c>
      <c r="E127" s="80">
        <f t="shared" si="1"/>
        <v>8.626442307692308</v>
      </c>
      <c r="F127" s="68">
        <f>ROUND(YEARFRAC(B127,F9),0)</f>
        <v>3</v>
      </c>
      <c r="G127" s="73">
        <v>12</v>
      </c>
      <c r="H127" s="74">
        <v>19</v>
      </c>
      <c r="I127" s="65"/>
      <c r="J127" s="66">
        <v>1</v>
      </c>
      <c r="K127" s="66">
        <v>1</v>
      </c>
      <c r="L127" s="66">
        <v>2</v>
      </c>
      <c r="M127" s="50" t="s">
        <v>48</v>
      </c>
      <c r="N127" s="50" t="str">
        <f>VLOOKUP(M127,F417:G420,2,FALSE)</f>
        <v>C-Plains</v>
      </c>
    </row>
    <row r="128" spans="1:14" ht="15.75">
      <c r="A128" s="62">
        <v>1289</v>
      </c>
      <c r="B128" s="63">
        <v>39012</v>
      </c>
      <c r="C128" s="64" t="s">
        <v>12</v>
      </c>
      <c r="D128" s="97">
        <v>50078</v>
      </c>
      <c r="E128" s="80">
        <f t="shared" si="1"/>
        <v>24.075961538461538</v>
      </c>
      <c r="F128" s="68">
        <f>ROUND(YEARFRAC(B128,F9),0)</f>
        <v>8</v>
      </c>
      <c r="G128" s="73">
        <v>12</v>
      </c>
      <c r="H128" s="74">
        <v>40</v>
      </c>
      <c r="I128" s="65"/>
      <c r="J128" s="66">
        <v>1</v>
      </c>
      <c r="K128" s="66">
        <v>1</v>
      </c>
      <c r="L128" s="66">
        <v>1</v>
      </c>
      <c r="M128" s="50" t="s">
        <v>52</v>
      </c>
      <c r="N128" s="50" t="str">
        <f>VLOOKUP(M128,F417:G420,2,FALSE)</f>
        <v>Midwest</v>
      </c>
    </row>
    <row r="129" spans="1:14" ht="15.75">
      <c r="A129" s="62">
        <v>1292</v>
      </c>
      <c r="B129" s="63">
        <v>37024</v>
      </c>
      <c r="C129" s="64" t="s">
        <v>12</v>
      </c>
      <c r="D129" s="97">
        <v>56815</v>
      </c>
      <c r="E129" s="80">
        <f t="shared" si="1"/>
        <v>27.314903846153847</v>
      </c>
      <c r="F129" s="68">
        <f>ROUND(YEARFRAC(B129,F9),0)</f>
        <v>14</v>
      </c>
      <c r="G129" s="73">
        <v>14</v>
      </c>
      <c r="H129" s="74">
        <v>50</v>
      </c>
      <c r="I129" s="65" t="str">
        <f>IF(F129&gt;=10,"Yes","No")</f>
        <v>Yes</v>
      </c>
      <c r="J129" s="66">
        <v>3</v>
      </c>
      <c r="K129" s="66">
        <v>1</v>
      </c>
      <c r="L129" s="66">
        <v>1</v>
      </c>
      <c r="M129" s="50" t="s">
        <v>51</v>
      </c>
      <c r="N129" s="50" t="str">
        <f>VLOOKUP(M129,F417:G420,2,FALSE)</f>
        <v>Northeast</v>
      </c>
    </row>
    <row r="130" spans="1:14" ht="15.75">
      <c r="A130" s="62">
        <v>1295</v>
      </c>
      <c r="B130" s="63">
        <v>41098</v>
      </c>
      <c r="C130" s="64" t="s">
        <v>17</v>
      </c>
      <c r="D130" s="97">
        <v>45670</v>
      </c>
      <c r="E130" s="80">
        <f t="shared" si="1"/>
        <v>21.95673076923077</v>
      </c>
      <c r="F130" s="68">
        <f>ROUND(YEARFRAC(B130,F9),0)</f>
        <v>2</v>
      </c>
      <c r="G130" s="73">
        <v>12</v>
      </c>
      <c r="H130" s="74">
        <v>30</v>
      </c>
      <c r="I130" s="65"/>
      <c r="J130" s="66">
        <v>3</v>
      </c>
      <c r="K130" s="66">
        <v>2</v>
      </c>
      <c r="L130" s="66">
        <v>1</v>
      </c>
      <c r="M130" s="50" t="s">
        <v>48</v>
      </c>
      <c r="N130" s="50" t="str">
        <f>VLOOKUP(M130,F417:G420,2,FALSE)</f>
        <v>C-Plains</v>
      </c>
    </row>
    <row r="131" spans="1:14" ht="15.75">
      <c r="A131" s="62">
        <v>1296</v>
      </c>
      <c r="B131" s="63">
        <v>36651</v>
      </c>
      <c r="C131" s="64" t="s">
        <v>13</v>
      </c>
      <c r="D131" s="97">
        <v>28901</v>
      </c>
      <c r="E131" s="80">
        <f t="shared" si="1"/>
        <v>13.894711538461538</v>
      </c>
      <c r="F131" s="68">
        <f>ROUND(YEARFRAC(B131,F9),0)</f>
        <v>15</v>
      </c>
      <c r="G131" s="73">
        <v>14</v>
      </c>
      <c r="H131" s="74">
        <v>36</v>
      </c>
      <c r="I131" s="65" t="str">
        <f>IF(F131&gt;=10,"Yes","No")</f>
        <v>Yes</v>
      </c>
      <c r="J131" s="66">
        <v>3</v>
      </c>
      <c r="K131" s="66">
        <v>1</v>
      </c>
      <c r="L131" s="66">
        <v>1</v>
      </c>
      <c r="M131" s="50" t="s">
        <v>51</v>
      </c>
      <c r="N131" s="50" t="str">
        <f>VLOOKUP(M131,F417:G420,2,FALSE)</f>
        <v>Northeast</v>
      </c>
    </row>
    <row r="132" spans="1:14" ht="15.75">
      <c r="A132" s="62">
        <v>1296</v>
      </c>
      <c r="B132" s="63">
        <v>40436</v>
      </c>
      <c r="C132" s="64" t="s">
        <v>29</v>
      </c>
      <c r="D132" s="97">
        <v>52765</v>
      </c>
      <c r="E132" s="80">
        <f t="shared" si="1"/>
        <v>25.36778846153846</v>
      </c>
      <c r="F132" s="68">
        <f>ROUND(YEARFRAC(B132,F9),0)</f>
        <v>4</v>
      </c>
      <c r="G132" s="73">
        <v>12</v>
      </c>
      <c r="H132" s="74">
        <v>29</v>
      </c>
      <c r="I132" s="65"/>
      <c r="J132" s="66">
        <v>4</v>
      </c>
      <c r="K132" s="66">
        <v>2</v>
      </c>
      <c r="L132" s="66">
        <v>1</v>
      </c>
      <c r="M132" s="50" t="s">
        <v>52</v>
      </c>
      <c r="N132" s="50" t="str">
        <f>VLOOKUP(M132,F417:G420,2,FALSE)</f>
        <v>Midwest</v>
      </c>
    </row>
    <row r="133" spans="1:14" ht="15.75">
      <c r="A133" s="62">
        <v>1296</v>
      </c>
      <c r="B133" s="63">
        <v>40809</v>
      </c>
      <c r="C133" s="64" t="s">
        <v>30</v>
      </c>
      <c r="D133" s="97">
        <v>53487</v>
      </c>
      <c r="E133" s="80">
        <f t="shared" si="1"/>
        <v>25.714903846153845</v>
      </c>
      <c r="F133" s="68">
        <f>ROUND(YEARFRAC(B133,F9),0)</f>
        <v>3</v>
      </c>
      <c r="G133" s="73">
        <v>16</v>
      </c>
      <c r="H133" s="74">
        <v>34</v>
      </c>
      <c r="I133" s="65"/>
      <c r="J133" s="66">
        <v>3</v>
      </c>
      <c r="K133" s="66">
        <v>1</v>
      </c>
      <c r="L133" s="66">
        <v>1</v>
      </c>
      <c r="M133" s="50" t="s">
        <v>48</v>
      </c>
      <c r="N133" s="50" t="str">
        <f>VLOOKUP(M133,F417:G420,2,FALSE)</f>
        <v>C-Plains</v>
      </c>
    </row>
    <row r="134" spans="1:14" ht="15.75">
      <c r="A134" s="62">
        <v>1297</v>
      </c>
      <c r="B134" s="63">
        <v>38509</v>
      </c>
      <c r="C134" s="64" t="s">
        <v>18</v>
      </c>
      <c r="D134" s="97">
        <v>69628</v>
      </c>
      <c r="E134" s="80">
        <f t="shared" si="1"/>
        <v>33.475000000000001</v>
      </c>
      <c r="F134" s="68">
        <f>ROUND(YEARFRAC(B134,F9),0)</f>
        <v>10</v>
      </c>
      <c r="G134" s="73">
        <v>12</v>
      </c>
      <c r="H134" s="74">
        <v>41</v>
      </c>
      <c r="I134" s="65"/>
      <c r="J134" s="66">
        <v>3</v>
      </c>
      <c r="K134" s="66">
        <v>1</v>
      </c>
      <c r="L134" s="66">
        <v>2</v>
      </c>
      <c r="M134" s="50" t="s">
        <v>52</v>
      </c>
      <c r="N134" s="50" t="str">
        <f>VLOOKUP(M134,F417:G420,2,FALSE)</f>
        <v>Midwest</v>
      </c>
    </row>
    <row r="135" spans="1:14" ht="15.75">
      <c r="A135" s="62">
        <v>1299</v>
      </c>
      <c r="B135" s="63">
        <v>39911</v>
      </c>
      <c r="C135" s="64" t="s">
        <v>28</v>
      </c>
      <c r="D135" s="97">
        <v>85286</v>
      </c>
      <c r="E135" s="80">
        <f t="shared" si="1"/>
        <v>41.002884615384616</v>
      </c>
      <c r="F135" s="68">
        <f>ROUND(YEARFRAC(B135,F9),0)</f>
        <v>6</v>
      </c>
      <c r="G135" s="73">
        <v>16</v>
      </c>
      <c r="H135" s="74">
        <v>47</v>
      </c>
      <c r="I135" s="65"/>
      <c r="J135" s="66">
        <v>1</v>
      </c>
      <c r="K135" s="66">
        <v>1</v>
      </c>
      <c r="L135" s="66">
        <v>1</v>
      </c>
      <c r="M135" s="50" t="s">
        <v>51</v>
      </c>
      <c r="N135" s="50" t="str">
        <f>VLOOKUP(M135,F417:G420,2,FALSE)</f>
        <v>Northeast</v>
      </c>
    </row>
    <row r="136" spans="1:14" ht="15.75">
      <c r="A136" s="62">
        <v>1300</v>
      </c>
      <c r="B136" s="63">
        <v>40004</v>
      </c>
      <c r="C136" s="64" t="s">
        <v>64</v>
      </c>
      <c r="D136" s="97">
        <v>80637</v>
      </c>
      <c r="E136" s="80">
        <f t="shared" si="1"/>
        <v>38.767788461538458</v>
      </c>
      <c r="F136" s="68">
        <f>ROUND(YEARFRAC(B136,F9),0)</f>
        <v>5</v>
      </c>
      <c r="G136" s="73">
        <v>16</v>
      </c>
      <c r="H136" s="74">
        <v>36</v>
      </c>
      <c r="I136" s="65"/>
      <c r="J136" s="66">
        <v>3</v>
      </c>
      <c r="K136" s="66">
        <v>2</v>
      </c>
      <c r="L136" s="66">
        <v>1</v>
      </c>
      <c r="M136" s="50" t="s">
        <v>51</v>
      </c>
      <c r="N136" s="50" t="str">
        <f>VLOOKUP(M136,F417:G420,2,FALSE)</f>
        <v>Northeast</v>
      </c>
    </row>
    <row r="137" spans="1:14" ht="15.75">
      <c r="A137" s="62">
        <v>1300</v>
      </c>
      <c r="B137" s="63">
        <v>39981</v>
      </c>
      <c r="C137" s="64" t="s">
        <v>12</v>
      </c>
      <c r="D137" s="97">
        <v>36882</v>
      </c>
      <c r="E137" s="80">
        <f t="shared" si="1"/>
        <v>17.731730769230769</v>
      </c>
      <c r="F137" s="68">
        <f>ROUND(YEARFRAC(B137,F9),0)</f>
        <v>6</v>
      </c>
      <c r="G137" s="73">
        <v>12</v>
      </c>
      <c r="H137" s="74">
        <v>32</v>
      </c>
      <c r="I137" s="65"/>
      <c r="J137" s="66">
        <v>3</v>
      </c>
      <c r="K137" s="66">
        <v>1</v>
      </c>
      <c r="L137" s="66">
        <v>2</v>
      </c>
      <c r="M137" s="50" t="s">
        <v>51</v>
      </c>
      <c r="N137" s="50" t="str">
        <f>VLOOKUP(M137,F417:G420,2,FALSE)</f>
        <v>Northeast</v>
      </c>
    </row>
    <row r="138" spans="1:14" ht="15.75">
      <c r="A138" s="62">
        <v>1308</v>
      </c>
      <c r="B138" s="63">
        <v>40271</v>
      </c>
      <c r="C138" s="64" t="s">
        <v>64</v>
      </c>
      <c r="D138" s="97">
        <v>75261</v>
      </c>
      <c r="E138" s="80">
        <f t="shared" si="1"/>
        <v>36.183173076923076</v>
      </c>
      <c r="F138" s="68">
        <f>ROUND(YEARFRAC(B138,F9),0)</f>
        <v>5</v>
      </c>
      <c r="G138" s="73">
        <v>16</v>
      </c>
      <c r="H138" s="74">
        <v>31</v>
      </c>
      <c r="I138" s="65"/>
      <c r="J138" s="66">
        <v>3</v>
      </c>
      <c r="K138" s="66">
        <v>1</v>
      </c>
      <c r="L138" s="66">
        <v>1</v>
      </c>
      <c r="M138" s="50" t="s">
        <v>48</v>
      </c>
      <c r="N138" s="50" t="str">
        <f>VLOOKUP(M138,F417:G420,2,FALSE)</f>
        <v>C-Plains</v>
      </c>
    </row>
    <row r="139" spans="1:14" ht="15.75">
      <c r="A139" s="62">
        <v>1308</v>
      </c>
      <c r="B139" s="63">
        <v>37072</v>
      </c>
      <c r="C139" s="64" t="s">
        <v>34</v>
      </c>
      <c r="D139" s="97">
        <v>88698</v>
      </c>
      <c r="E139" s="80">
        <f t="shared" si="1"/>
        <v>42.643269230769228</v>
      </c>
      <c r="F139" s="68">
        <f>ROUND(YEARFRAC(B139,F9),0)</f>
        <v>14</v>
      </c>
      <c r="G139" s="73">
        <v>19</v>
      </c>
      <c r="H139" s="74">
        <v>43</v>
      </c>
      <c r="I139" s="65" t="str">
        <f>IF(F139&gt;=10,"Yes","No")</f>
        <v>Yes</v>
      </c>
      <c r="J139" s="66">
        <v>2</v>
      </c>
      <c r="K139" s="66">
        <v>2</v>
      </c>
      <c r="L139" s="66">
        <v>1</v>
      </c>
      <c r="M139" s="50" t="s">
        <v>52</v>
      </c>
      <c r="N139" s="50" t="str">
        <f>VLOOKUP(M139,F417:G420,2,FALSE)</f>
        <v>Midwest</v>
      </c>
    </row>
    <row r="140" spans="1:14" ht="15.75">
      <c r="A140" s="62">
        <v>1308</v>
      </c>
      <c r="B140" s="4">
        <v>36646</v>
      </c>
      <c r="C140" s="64" t="s">
        <v>12</v>
      </c>
      <c r="D140" s="97">
        <v>58742</v>
      </c>
      <c r="E140" s="80">
        <f t="shared" ref="E140:E203" si="2">D140/Annual_Hrs</f>
        <v>28.241346153846155</v>
      </c>
      <c r="F140" s="68">
        <f>ROUND(YEARFRAC(B140,F9),0)</f>
        <v>15</v>
      </c>
      <c r="G140" s="73">
        <v>14</v>
      </c>
      <c r="H140" s="74">
        <v>51</v>
      </c>
      <c r="I140" s="65" t="str">
        <f>IF(F140&gt;=10,"Yes","No")</f>
        <v>Yes</v>
      </c>
      <c r="J140" s="66">
        <v>3</v>
      </c>
      <c r="K140" s="66">
        <v>1</v>
      </c>
      <c r="L140" s="66">
        <v>2</v>
      </c>
      <c r="M140" s="50" t="s">
        <v>48</v>
      </c>
      <c r="N140" s="50" t="str">
        <f>VLOOKUP(M140,F417:G420,2,FALSE)</f>
        <v>C-Plains</v>
      </c>
    </row>
    <row r="141" spans="1:14" ht="15.75">
      <c r="A141" s="62">
        <v>1314</v>
      </c>
      <c r="B141" s="4">
        <v>39469</v>
      </c>
      <c r="C141" s="64" t="s">
        <v>12</v>
      </c>
      <c r="D141" s="97">
        <v>44765</v>
      </c>
      <c r="E141" s="80">
        <f t="shared" si="2"/>
        <v>21.521634615384617</v>
      </c>
      <c r="F141" s="68">
        <f>ROUND(YEARFRAC(B141,F9),0)</f>
        <v>7</v>
      </c>
      <c r="G141" s="73">
        <v>12</v>
      </c>
      <c r="H141" s="74">
        <v>35</v>
      </c>
      <c r="I141" s="65"/>
      <c r="J141" s="66">
        <v>1</v>
      </c>
      <c r="K141" s="66">
        <v>1</v>
      </c>
      <c r="L141" s="66">
        <v>1</v>
      </c>
      <c r="M141" s="50" t="s">
        <v>52</v>
      </c>
      <c r="N141" s="50" t="str">
        <f>VLOOKUP(M141,F417:G420,2,FALSE)</f>
        <v>Midwest</v>
      </c>
    </row>
    <row r="142" spans="1:14" ht="15.75">
      <c r="A142" s="62">
        <v>1315</v>
      </c>
      <c r="B142" s="63">
        <v>39128</v>
      </c>
      <c r="C142" s="64" t="s">
        <v>12</v>
      </c>
      <c r="D142" s="97">
        <v>49672</v>
      </c>
      <c r="E142" s="80">
        <f t="shared" si="2"/>
        <v>23.880769230769232</v>
      </c>
      <c r="F142" s="68">
        <f>ROUND(YEARFRAC(B142,F9),0)</f>
        <v>8</v>
      </c>
      <c r="G142" s="73">
        <v>12</v>
      </c>
      <c r="H142" s="74">
        <v>39</v>
      </c>
      <c r="I142" s="65"/>
      <c r="J142" s="66">
        <v>3</v>
      </c>
      <c r="K142" s="66">
        <v>1</v>
      </c>
      <c r="L142" s="66">
        <v>1</v>
      </c>
      <c r="M142" s="50" t="s">
        <v>52</v>
      </c>
      <c r="N142" s="50" t="str">
        <f>VLOOKUP(M142,F417:G420,2,FALSE)</f>
        <v>Midwest</v>
      </c>
    </row>
    <row r="143" spans="1:14" ht="15.75">
      <c r="A143" s="62">
        <v>1315</v>
      </c>
      <c r="B143" s="63">
        <v>39485</v>
      </c>
      <c r="C143" s="64" t="s">
        <v>18</v>
      </c>
      <c r="D143" s="97">
        <v>68913</v>
      </c>
      <c r="E143" s="80">
        <f t="shared" si="2"/>
        <v>33.131250000000001</v>
      </c>
      <c r="F143" s="68">
        <f>ROUND(YEARFRAC(B143,F9),0)</f>
        <v>7</v>
      </c>
      <c r="G143" s="73">
        <v>12</v>
      </c>
      <c r="H143" s="74">
        <v>34</v>
      </c>
      <c r="I143" s="65"/>
      <c r="J143" s="66">
        <v>4</v>
      </c>
      <c r="K143" s="66">
        <v>1</v>
      </c>
      <c r="L143" s="66">
        <v>1</v>
      </c>
      <c r="M143" s="50" t="s">
        <v>51</v>
      </c>
      <c r="N143" s="50" t="str">
        <f>VLOOKUP(M143,F417:G420,2,FALSE)</f>
        <v>Northeast</v>
      </c>
    </row>
    <row r="144" spans="1:14" ht="15.75">
      <c r="A144" s="62">
        <v>1317</v>
      </c>
      <c r="B144" s="63">
        <v>39672</v>
      </c>
      <c r="C144" s="64" t="s">
        <v>18</v>
      </c>
      <c r="D144" s="97">
        <v>68677</v>
      </c>
      <c r="E144" s="80">
        <f t="shared" si="2"/>
        <v>33.017788461538458</v>
      </c>
      <c r="F144" s="68">
        <f>ROUND(YEARFRAC(B144,F9),0)</f>
        <v>6</v>
      </c>
      <c r="G144" s="73">
        <v>12</v>
      </c>
      <c r="H144" s="74">
        <v>35</v>
      </c>
      <c r="I144" s="65"/>
      <c r="J144" s="66">
        <v>3</v>
      </c>
      <c r="K144" s="66">
        <v>1</v>
      </c>
      <c r="L144" s="66">
        <v>1</v>
      </c>
      <c r="M144" s="50" t="s">
        <v>51</v>
      </c>
      <c r="N144" s="50" t="str">
        <f>VLOOKUP(M144,F417:G420,2,FALSE)</f>
        <v>Northeast</v>
      </c>
    </row>
    <row r="145" spans="1:14" ht="15.75">
      <c r="A145" s="62">
        <v>1320</v>
      </c>
      <c r="B145" s="63">
        <v>39982</v>
      </c>
      <c r="C145" s="64" t="s">
        <v>13</v>
      </c>
      <c r="D145" s="97">
        <v>26351</v>
      </c>
      <c r="E145" s="80">
        <f t="shared" si="2"/>
        <v>12.668749999999999</v>
      </c>
      <c r="F145" s="68">
        <f>ROUND(YEARFRAC(B145,F9),0)</f>
        <v>6</v>
      </c>
      <c r="G145" s="73">
        <v>14</v>
      </c>
      <c r="H145" s="74">
        <v>27</v>
      </c>
      <c r="I145" s="65"/>
      <c r="J145" s="66">
        <v>4</v>
      </c>
      <c r="K145" s="66">
        <v>1</v>
      </c>
      <c r="L145" s="66">
        <v>2</v>
      </c>
      <c r="M145" s="50" t="s">
        <v>52</v>
      </c>
      <c r="N145" s="50" t="str">
        <f>VLOOKUP(M145,F417:G420,2,FALSE)</f>
        <v>Midwest</v>
      </c>
    </row>
    <row r="146" spans="1:14" ht="15.75">
      <c r="A146" s="62">
        <v>1320</v>
      </c>
      <c r="B146" s="63">
        <v>41153</v>
      </c>
      <c r="C146" s="64" t="s">
        <v>12</v>
      </c>
      <c r="D146" s="97">
        <v>31170</v>
      </c>
      <c r="E146" s="80">
        <f t="shared" si="2"/>
        <v>14.985576923076923</v>
      </c>
      <c r="F146" s="68">
        <f>ROUND(YEARFRAC(B146,F9),0)</f>
        <v>2</v>
      </c>
      <c r="G146" s="73">
        <v>12</v>
      </c>
      <c r="H146" s="74">
        <v>22</v>
      </c>
      <c r="I146" s="65"/>
      <c r="J146" s="66">
        <v>4</v>
      </c>
      <c r="K146" s="66">
        <v>2</v>
      </c>
      <c r="L146" s="66">
        <v>2</v>
      </c>
      <c r="M146" s="50" t="s">
        <v>51</v>
      </c>
      <c r="N146" s="50" t="str">
        <f>VLOOKUP(M146,F417:G420,2,FALSE)</f>
        <v>Northeast</v>
      </c>
    </row>
    <row r="147" spans="1:14" ht="15.75">
      <c r="A147" s="62">
        <v>1320</v>
      </c>
      <c r="B147" s="63">
        <v>40670</v>
      </c>
      <c r="C147" s="64" t="s">
        <v>18</v>
      </c>
      <c r="D147" s="97">
        <v>67380</v>
      </c>
      <c r="E147" s="80">
        <f t="shared" si="2"/>
        <v>32.394230769230766</v>
      </c>
      <c r="F147" s="68">
        <f>ROUND(YEARFRAC(B147,F9),0)</f>
        <v>4</v>
      </c>
      <c r="G147" s="73">
        <v>12</v>
      </c>
      <c r="H147" s="74">
        <v>31</v>
      </c>
      <c r="I147" s="65"/>
      <c r="J147" s="66">
        <v>1</v>
      </c>
      <c r="K147" s="66">
        <v>1</v>
      </c>
      <c r="L147" s="66">
        <v>2</v>
      </c>
      <c r="M147" s="50" t="s">
        <v>48</v>
      </c>
      <c r="N147" s="50" t="str">
        <f>VLOOKUP(M147,F417:G420,2,FALSE)</f>
        <v>C-Plains</v>
      </c>
    </row>
    <row r="148" spans="1:14" ht="15.75">
      <c r="A148" s="62">
        <v>1323</v>
      </c>
      <c r="B148" s="63">
        <v>38388</v>
      </c>
      <c r="C148" s="64" t="s">
        <v>12</v>
      </c>
      <c r="D148" s="97">
        <v>52235</v>
      </c>
      <c r="E148" s="80">
        <f t="shared" si="2"/>
        <v>25.11298076923077</v>
      </c>
      <c r="F148" s="68">
        <f>ROUND(YEARFRAC(B148,F9),0)</f>
        <v>10</v>
      </c>
      <c r="G148" s="73">
        <v>12</v>
      </c>
      <c r="H148" s="74">
        <v>44</v>
      </c>
      <c r="I148" s="65"/>
      <c r="J148" s="66">
        <v>4</v>
      </c>
      <c r="K148" s="66">
        <v>1</v>
      </c>
      <c r="L148" s="66">
        <v>2</v>
      </c>
      <c r="M148" s="50" t="s">
        <v>52</v>
      </c>
      <c r="N148" s="50" t="str">
        <f>VLOOKUP(M148,F417:G420,2,FALSE)</f>
        <v>Midwest</v>
      </c>
    </row>
    <row r="149" spans="1:14" ht="15.75">
      <c r="A149" s="62">
        <v>1325</v>
      </c>
      <c r="B149" s="63">
        <v>36234</v>
      </c>
      <c r="C149" s="64" t="s">
        <v>18</v>
      </c>
      <c r="D149" s="97">
        <v>83413</v>
      </c>
      <c r="E149" s="80">
        <f t="shared" si="2"/>
        <v>40.102403846153848</v>
      </c>
      <c r="F149" s="68">
        <f>ROUND(YEARFRAC(B149,F9),0)</f>
        <v>16</v>
      </c>
      <c r="G149" s="73">
        <v>14</v>
      </c>
      <c r="H149" s="74">
        <v>57</v>
      </c>
      <c r="I149" s="65" t="str">
        <f>IF(F149&gt;=10,"Yes","No")</f>
        <v>Yes</v>
      </c>
      <c r="J149" s="66">
        <v>3</v>
      </c>
      <c r="K149" s="66">
        <v>1</v>
      </c>
      <c r="L149" s="66">
        <v>1</v>
      </c>
      <c r="M149" s="50" t="s">
        <v>51</v>
      </c>
      <c r="N149" s="50" t="str">
        <f>VLOOKUP(M149,F417:G420,2,FALSE)</f>
        <v>Northeast</v>
      </c>
    </row>
    <row r="150" spans="1:14" ht="15.75">
      <c r="A150" s="62">
        <v>1329</v>
      </c>
      <c r="B150" s="63">
        <v>40076</v>
      </c>
      <c r="C150" s="64" t="s">
        <v>13</v>
      </c>
      <c r="D150" s="97">
        <v>26020</v>
      </c>
      <c r="E150" s="80">
        <f t="shared" si="2"/>
        <v>12.509615384615385</v>
      </c>
      <c r="F150" s="68">
        <f>ROUND(YEARFRAC(B150,F9),0)</f>
        <v>5</v>
      </c>
      <c r="G150" s="73">
        <v>14</v>
      </c>
      <c r="H150" s="74">
        <v>25</v>
      </c>
      <c r="I150" s="65"/>
      <c r="J150" s="66">
        <v>1</v>
      </c>
      <c r="K150" s="66">
        <v>1</v>
      </c>
      <c r="L150" s="66">
        <v>1</v>
      </c>
      <c r="M150" s="50" t="s">
        <v>51</v>
      </c>
      <c r="N150" s="50" t="str">
        <f>VLOOKUP(M150,F417:G420,2,FALSE)</f>
        <v>Northeast</v>
      </c>
    </row>
    <row r="151" spans="1:14" ht="15.75">
      <c r="A151" s="62">
        <v>1332</v>
      </c>
      <c r="B151" s="63">
        <v>40645</v>
      </c>
      <c r="C151" s="64" t="s">
        <v>20</v>
      </c>
      <c r="D151" s="97">
        <v>36789</v>
      </c>
      <c r="E151" s="80">
        <f t="shared" si="2"/>
        <v>17.687019230769231</v>
      </c>
      <c r="F151" s="68">
        <f>ROUND(YEARFRAC(B151,F9),0)</f>
        <v>4</v>
      </c>
      <c r="G151" s="73">
        <v>12</v>
      </c>
      <c r="H151" s="74">
        <v>24</v>
      </c>
      <c r="I151" s="65"/>
      <c r="J151" s="66">
        <v>3</v>
      </c>
      <c r="K151" s="66">
        <v>1</v>
      </c>
      <c r="L151" s="66">
        <v>2</v>
      </c>
      <c r="M151" s="50" t="s">
        <v>51</v>
      </c>
      <c r="N151" s="50" t="str">
        <f>VLOOKUP(M151,F417:G420,2,FALSE)</f>
        <v>Northeast</v>
      </c>
    </row>
    <row r="152" spans="1:14" ht="15.75">
      <c r="A152" s="62">
        <v>1339</v>
      </c>
      <c r="B152" s="63">
        <v>41030</v>
      </c>
      <c r="C152" s="64" t="s">
        <v>12</v>
      </c>
      <c r="D152" s="97">
        <v>31992</v>
      </c>
      <c r="E152" s="80">
        <f t="shared" si="2"/>
        <v>15.38076923076923</v>
      </c>
      <c r="F152" s="68">
        <f>ROUND(YEARFRAC(B152,F9),0)</f>
        <v>3</v>
      </c>
      <c r="G152" s="73">
        <v>12</v>
      </c>
      <c r="H152" s="74">
        <v>24</v>
      </c>
      <c r="I152" s="65"/>
      <c r="J152" s="66">
        <v>3</v>
      </c>
      <c r="K152" s="66">
        <v>1</v>
      </c>
      <c r="L152" s="66">
        <v>2</v>
      </c>
      <c r="M152" s="50" t="s">
        <v>48</v>
      </c>
      <c r="N152" s="50" t="str">
        <f>VLOOKUP(M152,F417:G420,2,FALSE)</f>
        <v>C-Plains</v>
      </c>
    </row>
    <row r="153" spans="1:14" ht="15.75">
      <c r="A153" s="62">
        <v>1341</v>
      </c>
      <c r="B153" s="63">
        <v>38053</v>
      </c>
      <c r="C153" s="64" t="s">
        <v>13</v>
      </c>
      <c r="D153" s="97">
        <v>28325</v>
      </c>
      <c r="E153" s="80">
        <f t="shared" si="2"/>
        <v>13.617788461538462</v>
      </c>
      <c r="F153" s="68">
        <f>ROUND(YEARFRAC(B153,F9),0)</f>
        <v>11</v>
      </c>
      <c r="G153" s="73">
        <v>14</v>
      </c>
      <c r="H153" s="74">
        <v>32</v>
      </c>
      <c r="I153" s="65" t="str">
        <f>IF(F153&gt;=10,"Yes","No")</f>
        <v>Yes</v>
      </c>
      <c r="J153" s="66">
        <v>3</v>
      </c>
      <c r="K153" s="66">
        <v>1</v>
      </c>
      <c r="L153" s="66">
        <v>1</v>
      </c>
      <c r="M153" s="50" t="s">
        <v>51</v>
      </c>
      <c r="N153" s="50" t="str">
        <f>VLOOKUP(M153,F417:G420,2,FALSE)</f>
        <v>Northeast</v>
      </c>
    </row>
    <row r="154" spans="1:14" ht="15.75">
      <c r="A154" s="62">
        <v>1343</v>
      </c>
      <c r="B154" s="63">
        <v>40283</v>
      </c>
      <c r="C154" s="64" t="s">
        <v>13</v>
      </c>
      <c r="D154" s="97">
        <v>21897</v>
      </c>
      <c r="E154" s="80">
        <f t="shared" si="2"/>
        <v>10.527403846153845</v>
      </c>
      <c r="F154" s="68">
        <f>ROUND(YEARFRAC(B154,F9),0)</f>
        <v>5</v>
      </c>
      <c r="G154" s="73">
        <v>12</v>
      </c>
      <c r="H154" s="74">
        <v>22</v>
      </c>
      <c r="I154" s="65"/>
      <c r="J154" s="66">
        <v>1</v>
      </c>
      <c r="K154" s="66">
        <v>1</v>
      </c>
      <c r="L154" s="66">
        <v>2</v>
      </c>
      <c r="M154" s="50" t="s">
        <v>52</v>
      </c>
      <c r="N154" s="50" t="str">
        <f>VLOOKUP(M154,F417:G420,2,FALSE)</f>
        <v>Midwest</v>
      </c>
    </row>
    <row r="155" spans="1:14" ht="15.75">
      <c r="A155" s="62">
        <v>1343</v>
      </c>
      <c r="B155" s="63">
        <v>39434</v>
      </c>
      <c r="C155" s="64" t="s">
        <v>12</v>
      </c>
      <c r="D155" s="97">
        <v>44860</v>
      </c>
      <c r="E155" s="80">
        <f t="shared" si="2"/>
        <v>21.567307692307693</v>
      </c>
      <c r="F155" s="68">
        <f>ROUND(YEARFRAC(B155,F9),0)</f>
        <v>7</v>
      </c>
      <c r="G155" s="73">
        <v>12</v>
      </c>
      <c r="H155" s="74">
        <v>36</v>
      </c>
      <c r="I155" s="65"/>
      <c r="J155" s="66">
        <v>1</v>
      </c>
      <c r="K155" s="66">
        <v>1</v>
      </c>
      <c r="L155" s="66">
        <v>1</v>
      </c>
      <c r="M155" s="50" t="s">
        <v>52</v>
      </c>
      <c r="N155" s="50" t="str">
        <f>VLOOKUP(M155,F417:G420,2,FALSE)</f>
        <v>Midwest</v>
      </c>
    </row>
    <row r="156" spans="1:14" ht="15.75">
      <c r="A156" s="62">
        <v>1346</v>
      </c>
      <c r="B156" s="63">
        <v>40341</v>
      </c>
      <c r="C156" s="64" t="s">
        <v>18</v>
      </c>
      <c r="D156" s="97">
        <v>67679</v>
      </c>
      <c r="E156" s="80">
        <f t="shared" si="2"/>
        <v>32.537980769230771</v>
      </c>
      <c r="F156" s="68">
        <f>ROUND(YEARFRAC(B156,F9),0)</f>
        <v>5</v>
      </c>
      <c r="G156" s="73">
        <v>12</v>
      </c>
      <c r="H156" s="74">
        <v>31</v>
      </c>
      <c r="I156" s="65"/>
      <c r="J156" s="66">
        <v>3</v>
      </c>
      <c r="K156" s="66">
        <v>1</v>
      </c>
      <c r="L156" s="66">
        <v>1</v>
      </c>
      <c r="M156" s="50" t="s">
        <v>51</v>
      </c>
      <c r="N156" s="50" t="str">
        <f>VLOOKUP(M156,F417:G420,2,FALSE)</f>
        <v>Northeast</v>
      </c>
    </row>
    <row r="157" spans="1:14" ht="15.75">
      <c r="A157" s="62">
        <v>1350</v>
      </c>
      <c r="B157" s="63">
        <v>41081</v>
      </c>
      <c r="C157" s="64" t="s">
        <v>14</v>
      </c>
      <c r="D157" s="97">
        <v>21387</v>
      </c>
      <c r="E157" s="80">
        <f t="shared" si="2"/>
        <v>10.282211538461539</v>
      </c>
      <c r="F157" s="68">
        <f>ROUND(YEARFRAC(B157,F9),0)</f>
        <v>3</v>
      </c>
      <c r="G157" s="73">
        <v>12</v>
      </c>
      <c r="H157" s="74">
        <v>23</v>
      </c>
      <c r="I157" s="65"/>
      <c r="J157" s="66">
        <v>3</v>
      </c>
      <c r="K157" s="66">
        <v>2</v>
      </c>
      <c r="L157" s="66">
        <v>2</v>
      </c>
      <c r="M157" s="50" t="s">
        <v>48</v>
      </c>
      <c r="N157" s="50" t="str">
        <f>VLOOKUP(M157,F417:G420,2,FALSE)</f>
        <v>C-Plains</v>
      </c>
    </row>
    <row r="158" spans="1:14" ht="15.75">
      <c r="A158" s="62">
        <v>1356</v>
      </c>
      <c r="B158" s="63">
        <v>40440</v>
      </c>
      <c r="C158" s="64" t="s">
        <v>33</v>
      </c>
      <c r="D158" s="97">
        <v>84068</v>
      </c>
      <c r="E158" s="80">
        <f t="shared" si="2"/>
        <v>40.417307692307695</v>
      </c>
      <c r="F158" s="68">
        <f>ROUND(YEARFRAC(B158,F9),0)</f>
        <v>4</v>
      </c>
      <c r="G158" s="73">
        <v>16</v>
      </c>
      <c r="H158" s="74">
        <v>48</v>
      </c>
      <c r="I158" s="65"/>
      <c r="J158" s="66">
        <v>3</v>
      </c>
      <c r="K158" s="66">
        <v>2</v>
      </c>
      <c r="L158" s="66">
        <v>1</v>
      </c>
      <c r="M158" s="50" t="s">
        <v>48</v>
      </c>
      <c r="N158" s="50" t="str">
        <f>VLOOKUP(M158,F417:G420,2,FALSE)</f>
        <v>C-Plains</v>
      </c>
    </row>
    <row r="159" spans="1:14" ht="15.75">
      <c r="A159" s="62">
        <v>1357</v>
      </c>
      <c r="B159" s="63">
        <v>36234</v>
      </c>
      <c r="C159" s="64" t="s">
        <v>31</v>
      </c>
      <c r="D159" s="97">
        <v>99741</v>
      </c>
      <c r="E159" s="80">
        <f t="shared" si="2"/>
        <v>47.95240384615385</v>
      </c>
      <c r="F159" s="68">
        <f>ROUND(YEARFRAC(B159,F9),0)</f>
        <v>16</v>
      </c>
      <c r="G159" s="73">
        <v>16</v>
      </c>
      <c r="H159" s="74">
        <v>52</v>
      </c>
      <c r="I159" s="65" t="str">
        <f>IF(F159&gt;=10,"Yes","No")</f>
        <v>Yes</v>
      </c>
      <c r="J159" s="66">
        <v>3</v>
      </c>
      <c r="K159" s="66">
        <v>1</v>
      </c>
      <c r="L159" s="66">
        <v>1</v>
      </c>
      <c r="M159" s="50" t="s">
        <v>51</v>
      </c>
      <c r="N159" s="50" t="str">
        <f>VLOOKUP(M159,F417:G420,2,FALSE)</f>
        <v>Northeast</v>
      </c>
    </row>
    <row r="160" spans="1:14" ht="15.75">
      <c r="A160" s="62">
        <v>1357</v>
      </c>
      <c r="B160" s="63">
        <v>38450</v>
      </c>
      <c r="C160" s="64" t="s">
        <v>23</v>
      </c>
      <c r="D160" s="97">
        <v>105779</v>
      </c>
      <c r="E160" s="80">
        <f t="shared" si="2"/>
        <v>50.855288461538464</v>
      </c>
      <c r="F160" s="68">
        <f>ROUND(YEARFRAC(B160,F9),0)</f>
        <v>10</v>
      </c>
      <c r="G160" s="73">
        <v>19</v>
      </c>
      <c r="H160" s="74">
        <v>39</v>
      </c>
      <c r="I160" s="65"/>
      <c r="J160" s="66">
        <v>3</v>
      </c>
      <c r="K160" s="66">
        <v>1</v>
      </c>
      <c r="L160" s="66">
        <v>2</v>
      </c>
      <c r="M160" s="50" t="s">
        <v>51</v>
      </c>
      <c r="N160" s="50" t="str">
        <f>VLOOKUP(M160,F417:G420,2,FALSE)</f>
        <v>Northeast</v>
      </c>
    </row>
    <row r="161" spans="1:14" ht="15.75">
      <c r="A161" s="62">
        <v>1364</v>
      </c>
      <c r="B161" s="4">
        <v>39523</v>
      </c>
      <c r="C161" s="64" t="s">
        <v>12</v>
      </c>
      <c r="D161" s="97">
        <v>44576</v>
      </c>
      <c r="E161" s="80">
        <f t="shared" si="2"/>
        <v>21.430769230769229</v>
      </c>
      <c r="F161" s="68">
        <f>ROUND(YEARFRAC(B161,F9),0)</f>
        <v>7</v>
      </c>
      <c r="G161" s="73">
        <v>12</v>
      </c>
      <c r="H161" s="74">
        <v>35</v>
      </c>
      <c r="I161" s="65"/>
      <c r="J161" s="66">
        <v>3</v>
      </c>
      <c r="K161" s="66">
        <v>1</v>
      </c>
      <c r="L161" s="66">
        <v>1</v>
      </c>
      <c r="M161" s="50" t="s">
        <v>51</v>
      </c>
      <c r="N161" s="50" t="str">
        <f>VLOOKUP(M161,F417:G420,2,FALSE)</f>
        <v>Northeast</v>
      </c>
    </row>
    <row r="162" spans="1:14" ht="15.75">
      <c r="A162" s="62">
        <v>1364</v>
      </c>
      <c r="B162" s="63">
        <v>38462</v>
      </c>
      <c r="C162" s="64" t="s">
        <v>12</v>
      </c>
      <c r="D162" s="97">
        <v>51431</v>
      </c>
      <c r="E162" s="80">
        <f t="shared" si="2"/>
        <v>24.726442307692309</v>
      </c>
      <c r="F162" s="68">
        <f>ROUND(YEARFRAC(B162,F9),0)</f>
        <v>10</v>
      </c>
      <c r="G162" s="73">
        <v>12</v>
      </c>
      <c r="H162" s="74">
        <v>44</v>
      </c>
      <c r="I162" s="65"/>
      <c r="J162" s="66">
        <v>1</v>
      </c>
      <c r="K162" s="66">
        <v>1</v>
      </c>
      <c r="L162" s="66">
        <v>2</v>
      </c>
      <c r="M162" s="50" t="s">
        <v>52</v>
      </c>
      <c r="N162" s="50" t="str">
        <f>VLOOKUP(M162,F417:G420,2,FALSE)</f>
        <v>Midwest</v>
      </c>
    </row>
    <row r="163" spans="1:14" ht="15.75">
      <c r="A163" s="62">
        <v>1373</v>
      </c>
      <c r="B163" s="63">
        <v>39911</v>
      </c>
      <c r="C163" s="64" t="s">
        <v>12</v>
      </c>
      <c r="D163" s="97">
        <v>38873</v>
      </c>
      <c r="E163" s="80">
        <f t="shared" si="2"/>
        <v>18.688942307692308</v>
      </c>
      <c r="F163" s="68">
        <f>ROUND(YEARFRAC(B163,F9),0)</f>
        <v>6</v>
      </c>
      <c r="G163" s="73">
        <v>12</v>
      </c>
      <c r="H163" s="74">
        <v>33</v>
      </c>
      <c r="I163" s="65"/>
      <c r="J163" s="66">
        <v>4</v>
      </c>
      <c r="K163" s="66">
        <v>1</v>
      </c>
      <c r="L163" s="66">
        <v>1</v>
      </c>
      <c r="M163" s="50" t="s">
        <v>51</v>
      </c>
      <c r="N163" s="50" t="str">
        <f>VLOOKUP(M163,F417:G420,2,FALSE)</f>
        <v>Northeast</v>
      </c>
    </row>
    <row r="164" spans="1:14" ht="15.75">
      <c r="A164" s="62">
        <v>1373</v>
      </c>
      <c r="B164" s="63">
        <v>39258</v>
      </c>
      <c r="C164" s="64" t="s">
        <v>12</v>
      </c>
      <c r="D164" s="97">
        <v>47648</v>
      </c>
      <c r="E164" s="80">
        <f t="shared" si="2"/>
        <v>22.907692307692308</v>
      </c>
      <c r="F164" s="68">
        <f>ROUND(YEARFRAC(B164,F9),0)</f>
        <v>8</v>
      </c>
      <c r="G164" s="73">
        <v>12</v>
      </c>
      <c r="H164" s="74">
        <v>38</v>
      </c>
      <c r="I164" s="65"/>
      <c r="J164" s="66">
        <v>3</v>
      </c>
      <c r="K164" s="66">
        <v>1</v>
      </c>
      <c r="L164" s="66">
        <v>1</v>
      </c>
      <c r="M164" s="50" t="s">
        <v>51</v>
      </c>
      <c r="N164" s="50" t="str">
        <f>VLOOKUP(M164,F417:G420,2,FALSE)</f>
        <v>Northeast</v>
      </c>
    </row>
    <row r="165" spans="1:14" ht="15.75">
      <c r="A165" s="62">
        <v>1378</v>
      </c>
      <c r="B165" s="63">
        <v>40368</v>
      </c>
      <c r="C165" s="64" t="s">
        <v>12</v>
      </c>
      <c r="D165" s="97">
        <v>33968</v>
      </c>
      <c r="E165" s="80">
        <f t="shared" si="2"/>
        <v>16.330769230769231</v>
      </c>
      <c r="F165" s="68">
        <f>ROUND(YEARFRAC(B165,F9),0)</f>
        <v>4</v>
      </c>
      <c r="G165" s="73">
        <v>12</v>
      </c>
      <c r="H165" s="74">
        <v>28</v>
      </c>
      <c r="I165" s="65"/>
      <c r="J165" s="66">
        <v>3</v>
      </c>
      <c r="K165" s="66">
        <v>1</v>
      </c>
      <c r="L165" s="66">
        <v>1</v>
      </c>
      <c r="M165" s="50" t="s">
        <v>51</v>
      </c>
      <c r="N165" s="50" t="str">
        <f>VLOOKUP(M165,F417:G420,2,FALSE)</f>
        <v>Northeast</v>
      </c>
    </row>
    <row r="166" spans="1:14" ht="15.75">
      <c r="A166" s="62">
        <v>1379</v>
      </c>
      <c r="B166" s="63">
        <v>39242</v>
      </c>
      <c r="C166" s="64" t="s">
        <v>26</v>
      </c>
      <c r="D166" s="97">
        <v>81191</v>
      </c>
      <c r="E166" s="80">
        <f t="shared" si="2"/>
        <v>39.034134615384616</v>
      </c>
      <c r="F166" s="68">
        <f>ROUND(YEARFRAC(B166,F9),0)</f>
        <v>8</v>
      </c>
      <c r="G166" s="73">
        <v>16</v>
      </c>
      <c r="H166" s="74">
        <v>36</v>
      </c>
      <c r="I166" s="65"/>
      <c r="J166" s="66">
        <v>1</v>
      </c>
      <c r="K166" s="66">
        <v>1</v>
      </c>
      <c r="L166" s="66">
        <v>1</v>
      </c>
      <c r="M166" s="50" t="s">
        <v>48</v>
      </c>
      <c r="N166" s="50" t="str">
        <f>VLOOKUP(M166,F417:G420,2,FALSE)</f>
        <v>C-Plains</v>
      </c>
    </row>
    <row r="167" spans="1:14" ht="15.75">
      <c r="A167" s="62">
        <v>1381</v>
      </c>
      <c r="B167" s="63">
        <v>40474</v>
      </c>
      <c r="C167" s="64" t="s">
        <v>16</v>
      </c>
      <c r="D167" s="97">
        <v>72181</v>
      </c>
      <c r="E167" s="80">
        <f t="shared" si="2"/>
        <v>34.70240384615385</v>
      </c>
      <c r="F167" s="68">
        <f>ROUND(YEARFRAC(B167,F9),0)</f>
        <v>4</v>
      </c>
      <c r="G167" s="73">
        <v>16</v>
      </c>
      <c r="H167" s="74">
        <v>52</v>
      </c>
      <c r="I167" s="65"/>
      <c r="J167" s="66">
        <v>3</v>
      </c>
      <c r="K167" s="66">
        <v>1</v>
      </c>
      <c r="L167" s="66">
        <v>1</v>
      </c>
      <c r="M167" s="50" t="s">
        <v>52</v>
      </c>
      <c r="N167" s="50" t="str">
        <f>VLOOKUP(M167,F417:G420,2,FALSE)</f>
        <v>Midwest</v>
      </c>
    </row>
    <row r="168" spans="1:14" ht="15.75">
      <c r="A168" s="62">
        <v>1387</v>
      </c>
      <c r="B168" s="63">
        <v>40008</v>
      </c>
      <c r="C168" s="64" t="s">
        <v>13</v>
      </c>
      <c r="D168" s="97">
        <v>26163</v>
      </c>
      <c r="E168" s="80">
        <f t="shared" si="2"/>
        <v>12.578365384615385</v>
      </c>
      <c r="F168" s="68">
        <f>ROUND(YEARFRAC(B168,F9),0)</f>
        <v>5</v>
      </c>
      <c r="G168" s="73">
        <v>12</v>
      </c>
      <c r="H168" s="74">
        <v>26</v>
      </c>
      <c r="I168" s="65"/>
      <c r="J168" s="66">
        <v>1</v>
      </c>
      <c r="K168" s="66">
        <v>1</v>
      </c>
      <c r="L168" s="66">
        <v>2</v>
      </c>
      <c r="M168" s="50" t="s">
        <v>48</v>
      </c>
      <c r="N168" s="50" t="str">
        <f>VLOOKUP(M168,F417:G420,2,FALSE)</f>
        <v>C-Plains</v>
      </c>
    </row>
    <row r="169" spans="1:14" ht="15.75">
      <c r="A169" s="62">
        <v>1387</v>
      </c>
      <c r="B169" s="63">
        <v>39434</v>
      </c>
      <c r="C169" s="64" t="s">
        <v>12</v>
      </c>
      <c r="D169" s="97">
        <v>45130</v>
      </c>
      <c r="E169" s="80">
        <f t="shared" si="2"/>
        <v>21.697115384615383</v>
      </c>
      <c r="F169" s="68">
        <f>ROUND(YEARFRAC(B169,F9),0)</f>
        <v>7</v>
      </c>
      <c r="G169" s="73">
        <v>12</v>
      </c>
      <c r="H169" s="74">
        <v>36</v>
      </c>
      <c r="I169" s="65"/>
      <c r="J169" s="66">
        <v>1</v>
      </c>
      <c r="K169" s="66">
        <v>1</v>
      </c>
      <c r="L169" s="66">
        <v>2</v>
      </c>
      <c r="M169" s="50" t="s">
        <v>52</v>
      </c>
      <c r="N169" s="50" t="str">
        <f>VLOOKUP(M169,F417:G420,2,FALSE)</f>
        <v>Midwest</v>
      </c>
    </row>
    <row r="170" spans="1:14" ht="15.75">
      <c r="A170" s="62">
        <v>1387</v>
      </c>
      <c r="B170" s="63">
        <v>38556</v>
      </c>
      <c r="C170" s="64" t="s">
        <v>12</v>
      </c>
      <c r="D170" s="97">
        <v>50914</v>
      </c>
      <c r="E170" s="80">
        <f t="shared" si="2"/>
        <v>24.477884615384614</v>
      </c>
      <c r="F170" s="68">
        <f>ROUND(YEARFRAC(B170,F9),0)</f>
        <v>9</v>
      </c>
      <c r="G170" s="73">
        <v>12</v>
      </c>
      <c r="H170" s="74">
        <v>43</v>
      </c>
      <c r="I170" s="65"/>
      <c r="J170" s="66">
        <v>3</v>
      </c>
      <c r="K170" s="66">
        <v>1</v>
      </c>
      <c r="L170" s="66">
        <v>1</v>
      </c>
      <c r="M170" s="50" t="s">
        <v>52</v>
      </c>
      <c r="N170" s="50" t="str">
        <f>VLOOKUP(M170,F417:G420,2,FALSE)</f>
        <v>Midwest</v>
      </c>
    </row>
    <row r="171" spans="1:14" ht="15.75">
      <c r="A171" s="62">
        <v>1391</v>
      </c>
      <c r="B171" s="63">
        <v>39963</v>
      </c>
      <c r="C171" s="64" t="s">
        <v>12</v>
      </c>
      <c r="D171" s="97">
        <v>37084</v>
      </c>
      <c r="E171" s="80">
        <f t="shared" si="2"/>
        <v>17.828846153846154</v>
      </c>
      <c r="F171" s="68">
        <f>ROUND(YEARFRAC(B171,F9),0)</f>
        <v>6</v>
      </c>
      <c r="G171" s="73">
        <v>12</v>
      </c>
      <c r="H171" s="74">
        <v>32</v>
      </c>
      <c r="I171" s="65"/>
      <c r="J171" s="66">
        <v>3</v>
      </c>
      <c r="K171" s="66">
        <v>1</v>
      </c>
      <c r="L171" s="66">
        <v>2</v>
      </c>
      <c r="M171" s="50" t="s">
        <v>48</v>
      </c>
      <c r="N171" s="50" t="str">
        <f>VLOOKUP(M171,F417:G420,2,FALSE)</f>
        <v>C-Plains</v>
      </c>
    </row>
    <row r="172" spans="1:14" ht="15.75">
      <c r="A172" s="62">
        <v>1393</v>
      </c>
      <c r="B172" s="67">
        <v>36925</v>
      </c>
      <c r="C172" s="64" t="s">
        <v>12</v>
      </c>
      <c r="D172" s="97">
        <v>57643</v>
      </c>
      <c r="E172" s="80">
        <f t="shared" si="2"/>
        <v>27.712980769230768</v>
      </c>
      <c r="F172" s="68">
        <f>ROUND(YEARFRAC(B172,F9),0)</f>
        <v>14</v>
      </c>
      <c r="G172" s="73">
        <v>12</v>
      </c>
      <c r="H172" s="74">
        <v>51</v>
      </c>
      <c r="I172" s="65" t="str">
        <f>IF(F172&gt;=10,"Yes","No")</f>
        <v>Yes</v>
      </c>
      <c r="J172" s="66">
        <v>3</v>
      </c>
      <c r="K172" s="66">
        <v>1</v>
      </c>
      <c r="L172" s="66">
        <v>1</v>
      </c>
      <c r="M172" s="50" t="s">
        <v>48</v>
      </c>
      <c r="N172" s="50" t="str">
        <f>VLOOKUP(M172,F417:G420,2,FALSE)</f>
        <v>C-Plains</v>
      </c>
    </row>
    <row r="173" spans="1:14" ht="15.75">
      <c r="A173" s="62">
        <v>1394</v>
      </c>
      <c r="B173" s="63">
        <v>36646</v>
      </c>
      <c r="C173" s="64" t="s">
        <v>12</v>
      </c>
      <c r="D173" s="97">
        <v>58640</v>
      </c>
      <c r="E173" s="80">
        <f t="shared" si="2"/>
        <v>28.192307692307693</v>
      </c>
      <c r="F173" s="68">
        <f>ROUND(YEARFRAC(B173,F9),0)</f>
        <v>15</v>
      </c>
      <c r="G173" s="73">
        <v>16</v>
      </c>
      <c r="H173" s="74">
        <v>51</v>
      </c>
      <c r="I173" s="65" t="str">
        <f>IF(F173&gt;=10,"Yes","No")</f>
        <v>Yes</v>
      </c>
      <c r="J173" s="66">
        <v>1</v>
      </c>
      <c r="K173" s="66">
        <v>1</v>
      </c>
      <c r="L173" s="66">
        <v>1</v>
      </c>
      <c r="M173" s="50" t="s">
        <v>52</v>
      </c>
      <c r="N173" s="50" t="str">
        <f>VLOOKUP(M173,F417:G420,2,FALSE)</f>
        <v>Midwest</v>
      </c>
    </row>
    <row r="174" spans="1:14" ht="15.75">
      <c r="A174" s="62">
        <v>1400</v>
      </c>
      <c r="B174" s="63">
        <v>38519</v>
      </c>
      <c r="C174" s="64" t="s">
        <v>15</v>
      </c>
      <c r="D174" s="97">
        <v>80483</v>
      </c>
      <c r="E174" s="80">
        <f t="shared" si="2"/>
        <v>38.693750000000001</v>
      </c>
      <c r="F174" s="68">
        <f>ROUND(YEARFRAC(B174,F9),0)</f>
        <v>10</v>
      </c>
      <c r="G174" s="73">
        <v>16</v>
      </c>
      <c r="H174" s="74">
        <v>46</v>
      </c>
      <c r="I174" s="65"/>
      <c r="J174" s="66">
        <v>3</v>
      </c>
      <c r="K174" s="66">
        <v>1</v>
      </c>
      <c r="L174" s="66">
        <v>2</v>
      </c>
      <c r="M174" s="50" t="s">
        <v>48</v>
      </c>
      <c r="N174" s="50" t="str">
        <f>VLOOKUP(M174,F417:G420,2,FALSE)</f>
        <v>C-Plains</v>
      </c>
    </row>
    <row r="175" spans="1:14" ht="15.75">
      <c r="A175" s="62">
        <v>1402</v>
      </c>
      <c r="B175" s="63">
        <v>40772</v>
      </c>
      <c r="C175" s="64" t="s">
        <v>12</v>
      </c>
      <c r="D175" s="97">
        <v>32812</v>
      </c>
      <c r="E175" s="80">
        <f t="shared" si="2"/>
        <v>15.775</v>
      </c>
      <c r="F175" s="68">
        <f>ROUND(YEARFRAC(B175,F9),0)</f>
        <v>3</v>
      </c>
      <c r="G175" s="73">
        <v>12</v>
      </c>
      <c r="H175" s="74">
        <v>26</v>
      </c>
      <c r="I175" s="65"/>
      <c r="J175" s="66">
        <v>4</v>
      </c>
      <c r="K175" s="66">
        <v>1</v>
      </c>
      <c r="L175" s="66">
        <v>1</v>
      </c>
      <c r="M175" s="50" t="s">
        <v>52</v>
      </c>
      <c r="N175" s="50" t="str">
        <f>VLOOKUP(M175,F417:G420,2,FALSE)</f>
        <v>Midwest</v>
      </c>
    </row>
    <row r="176" spans="1:14" ht="15.75">
      <c r="A176" s="62">
        <v>1403</v>
      </c>
      <c r="B176" s="63">
        <v>40513</v>
      </c>
      <c r="C176" s="64" t="s">
        <v>16</v>
      </c>
      <c r="D176" s="97">
        <v>71265</v>
      </c>
      <c r="E176" s="80">
        <f t="shared" si="2"/>
        <v>34.262019230769234</v>
      </c>
      <c r="F176" s="68">
        <f>ROUND(YEARFRAC(B176,F9),0)</f>
        <v>4</v>
      </c>
      <c r="G176" s="73">
        <v>16</v>
      </c>
      <c r="H176" s="74">
        <v>42</v>
      </c>
      <c r="I176" s="65"/>
      <c r="J176" s="66">
        <v>3</v>
      </c>
      <c r="K176" s="66">
        <v>2</v>
      </c>
      <c r="L176" s="66">
        <v>1</v>
      </c>
      <c r="M176" s="50" t="s">
        <v>52</v>
      </c>
      <c r="N176" s="50" t="str">
        <f>VLOOKUP(M176,F417:G420,2,FALSE)</f>
        <v>Midwest</v>
      </c>
    </row>
    <row r="177" spans="1:14" ht="15.75">
      <c r="A177" s="62">
        <v>1404</v>
      </c>
      <c r="B177" s="63">
        <v>40831</v>
      </c>
      <c r="C177" s="64" t="s">
        <v>13</v>
      </c>
      <c r="D177" s="97">
        <v>18097</v>
      </c>
      <c r="E177" s="80">
        <f t="shared" si="2"/>
        <v>8.7004807692307686</v>
      </c>
      <c r="F177" s="68">
        <f>ROUND(YEARFRAC(B177,F9),0)</f>
        <v>3</v>
      </c>
      <c r="G177" s="73">
        <v>14</v>
      </c>
      <c r="H177" s="74">
        <v>19</v>
      </c>
      <c r="I177" s="65"/>
      <c r="J177" s="66">
        <v>3</v>
      </c>
      <c r="K177" s="66">
        <v>1</v>
      </c>
      <c r="L177" s="66">
        <v>2</v>
      </c>
      <c r="M177" s="50" t="s">
        <v>51</v>
      </c>
      <c r="N177" s="50" t="str">
        <f>VLOOKUP(M177,F417:G420,2,FALSE)</f>
        <v>Northeast</v>
      </c>
    </row>
    <row r="178" spans="1:14" ht="15.75">
      <c r="A178" s="62">
        <v>1405</v>
      </c>
      <c r="B178" s="63">
        <v>39307</v>
      </c>
      <c r="C178" s="64" t="s">
        <v>13</v>
      </c>
      <c r="D178" s="97">
        <v>28537</v>
      </c>
      <c r="E178" s="80">
        <f t="shared" si="2"/>
        <v>13.719711538461539</v>
      </c>
      <c r="F178" s="68">
        <f>ROUND(YEARFRAC(B178,F9),0)</f>
        <v>7</v>
      </c>
      <c r="G178" s="73">
        <v>14</v>
      </c>
      <c r="H178" s="74">
        <v>34</v>
      </c>
      <c r="I178" s="65"/>
      <c r="J178" s="66">
        <v>3</v>
      </c>
      <c r="K178" s="66">
        <v>1</v>
      </c>
      <c r="L178" s="66">
        <v>1</v>
      </c>
      <c r="M178" s="50" t="s">
        <v>52</v>
      </c>
      <c r="N178" s="50" t="str">
        <f>VLOOKUP(M178,F417:G420,2,FALSE)</f>
        <v>Midwest</v>
      </c>
    </row>
    <row r="179" spans="1:14" ht="15.75">
      <c r="A179" s="62">
        <v>1411</v>
      </c>
      <c r="B179" s="63">
        <v>39877</v>
      </c>
      <c r="C179" s="64" t="s">
        <v>15</v>
      </c>
      <c r="D179" s="97">
        <v>61333</v>
      </c>
      <c r="E179" s="80">
        <f t="shared" si="2"/>
        <v>29.487019230769231</v>
      </c>
      <c r="F179" s="68">
        <f>ROUND(YEARFRAC(B179,F9),0)</f>
        <v>6</v>
      </c>
      <c r="G179" s="73">
        <v>16</v>
      </c>
      <c r="H179" s="74">
        <v>30</v>
      </c>
      <c r="I179" s="65"/>
      <c r="J179" s="66">
        <v>3</v>
      </c>
      <c r="K179" s="66">
        <v>1</v>
      </c>
      <c r="L179" s="66">
        <v>2</v>
      </c>
      <c r="M179" s="50" t="s">
        <v>48</v>
      </c>
      <c r="N179" s="50" t="str">
        <f>VLOOKUP(M179,F417:G420,2,FALSE)</f>
        <v>C-Plains</v>
      </c>
    </row>
    <row r="180" spans="1:14" ht="15.75">
      <c r="A180" s="62">
        <v>1417</v>
      </c>
      <c r="B180" s="63">
        <v>39187</v>
      </c>
      <c r="C180" s="64" t="s">
        <v>18</v>
      </c>
      <c r="D180" s="97">
        <v>69102</v>
      </c>
      <c r="E180" s="80">
        <f t="shared" si="2"/>
        <v>33.222115384615385</v>
      </c>
      <c r="F180" s="68">
        <f>ROUND(YEARFRAC(B180,F9),0)</f>
        <v>8</v>
      </c>
      <c r="G180" s="73">
        <v>12</v>
      </c>
      <c r="H180" s="74">
        <v>34</v>
      </c>
      <c r="I180" s="65"/>
      <c r="J180" s="66">
        <v>4</v>
      </c>
      <c r="K180" s="66">
        <v>1</v>
      </c>
      <c r="L180" s="66">
        <v>1</v>
      </c>
      <c r="M180" s="50" t="s">
        <v>51</v>
      </c>
      <c r="N180" s="50" t="str">
        <f>VLOOKUP(M180,F417:G420,2,FALSE)</f>
        <v>Northeast</v>
      </c>
    </row>
    <row r="181" spans="1:14" ht="15.75">
      <c r="A181" s="62">
        <v>1418</v>
      </c>
      <c r="B181" s="63">
        <v>40728</v>
      </c>
      <c r="C181" s="64" t="s">
        <v>30</v>
      </c>
      <c r="D181" s="97">
        <v>53981</v>
      </c>
      <c r="E181" s="80">
        <f t="shared" si="2"/>
        <v>25.952403846153846</v>
      </c>
      <c r="F181" s="68">
        <f>ROUND(YEARFRAC(B181,F9),0)</f>
        <v>3</v>
      </c>
      <c r="G181" s="73">
        <v>16</v>
      </c>
      <c r="H181" s="74">
        <v>36</v>
      </c>
      <c r="I181" s="65"/>
      <c r="J181" s="66">
        <v>3</v>
      </c>
      <c r="K181" s="66">
        <v>1</v>
      </c>
      <c r="L181" s="66">
        <v>1</v>
      </c>
      <c r="M181" s="50" t="s">
        <v>52</v>
      </c>
      <c r="N181" s="50" t="str">
        <f>VLOOKUP(M181,F417:G420,2,FALSE)</f>
        <v>Midwest</v>
      </c>
    </row>
    <row r="182" spans="1:14" ht="15.75">
      <c r="A182" s="62">
        <v>1422</v>
      </c>
      <c r="B182" s="63">
        <v>39963</v>
      </c>
      <c r="C182" s="64" t="s">
        <v>12</v>
      </c>
      <c r="D182" s="97">
        <v>36918</v>
      </c>
      <c r="E182" s="80">
        <f t="shared" si="2"/>
        <v>17.749038461538461</v>
      </c>
      <c r="F182" s="68">
        <f>ROUND(YEARFRAC(B182,F9),0)</f>
        <v>6</v>
      </c>
      <c r="G182" s="73">
        <v>12</v>
      </c>
      <c r="H182" s="74">
        <v>32</v>
      </c>
      <c r="I182" s="65"/>
      <c r="J182" s="66">
        <v>1</v>
      </c>
      <c r="K182" s="66">
        <v>1</v>
      </c>
      <c r="L182" s="66">
        <v>1</v>
      </c>
      <c r="M182" s="50" t="s">
        <v>52</v>
      </c>
      <c r="N182" s="50" t="str">
        <f>VLOOKUP(M182,F417:G420,2,FALSE)</f>
        <v>Midwest</v>
      </c>
    </row>
    <row r="183" spans="1:14" ht="15.75">
      <c r="A183" s="62">
        <v>1422</v>
      </c>
      <c r="B183" s="63">
        <v>41525</v>
      </c>
      <c r="C183" s="64" t="s">
        <v>16</v>
      </c>
      <c r="D183" s="97">
        <v>52485</v>
      </c>
      <c r="E183" s="80">
        <f t="shared" si="2"/>
        <v>25.233173076923077</v>
      </c>
      <c r="F183" s="68">
        <f>ROUND(YEARFRAC(B183,F9),0)</f>
        <v>1</v>
      </c>
      <c r="G183" s="73">
        <v>16</v>
      </c>
      <c r="H183" s="74">
        <v>25</v>
      </c>
      <c r="I183" s="65"/>
      <c r="J183" s="66">
        <v>3</v>
      </c>
      <c r="K183" s="66">
        <v>1</v>
      </c>
      <c r="L183" s="66">
        <v>1</v>
      </c>
      <c r="M183" s="50" t="s">
        <v>48</v>
      </c>
      <c r="N183" s="50" t="str">
        <f>VLOOKUP(M183,F417:G420,2,FALSE)</f>
        <v>C-Plains</v>
      </c>
    </row>
    <row r="184" spans="1:14" ht="15.75">
      <c r="A184" s="62">
        <v>1424</v>
      </c>
      <c r="B184" s="63">
        <v>36234</v>
      </c>
      <c r="C184" s="64" t="s">
        <v>19</v>
      </c>
      <c r="D184" s="97">
        <v>75737</v>
      </c>
      <c r="E184" s="80">
        <f t="shared" si="2"/>
        <v>36.412019230769232</v>
      </c>
      <c r="F184" s="68">
        <f>ROUND(YEARFRAC(B184,F9),0)</f>
        <v>16</v>
      </c>
      <c r="G184" s="73">
        <v>14</v>
      </c>
      <c r="H184" s="74">
        <v>45</v>
      </c>
      <c r="I184" s="65" t="str">
        <f>IF(F184&gt;=10,"Yes","No")</f>
        <v>Yes</v>
      </c>
      <c r="J184" s="66">
        <v>3</v>
      </c>
      <c r="K184" s="66">
        <v>2</v>
      </c>
      <c r="L184" s="66">
        <v>1</v>
      </c>
      <c r="M184" s="50" t="s">
        <v>51</v>
      </c>
      <c r="N184" s="50" t="str">
        <f>VLOOKUP(M184,F417:G420,2,FALSE)</f>
        <v>Northeast</v>
      </c>
    </row>
    <row r="185" spans="1:14" ht="15.75">
      <c r="A185" s="62">
        <v>1424</v>
      </c>
      <c r="B185" s="63">
        <v>40192</v>
      </c>
      <c r="C185" s="64" t="s">
        <v>12</v>
      </c>
      <c r="D185" s="97">
        <v>34512</v>
      </c>
      <c r="E185" s="80">
        <f t="shared" si="2"/>
        <v>16.592307692307692</v>
      </c>
      <c r="F185" s="68">
        <f>ROUND(YEARFRAC(B185,F9),0)</f>
        <v>5</v>
      </c>
      <c r="G185" s="73">
        <v>12</v>
      </c>
      <c r="H185" s="74">
        <v>29</v>
      </c>
      <c r="I185" s="65"/>
      <c r="J185" s="66">
        <v>3</v>
      </c>
      <c r="K185" s="66">
        <v>1</v>
      </c>
      <c r="L185" s="66">
        <v>2</v>
      </c>
      <c r="M185" s="50" t="s">
        <v>48</v>
      </c>
      <c r="N185" s="50" t="str">
        <f>VLOOKUP(M185,F417:G420,2,FALSE)</f>
        <v>C-Plains</v>
      </c>
    </row>
    <row r="186" spans="1:14" ht="15.75">
      <c r="A186" s="62">
        <v>1424</v>
      </c>
      <c r="B186" s="63">
        <v>41320</v>
      </c>
      <c r="C186" s="64" t="s">
        <v>16</v>
      </c>
      <c r="D186" s="97">
        <v>55460</v>
      </c>
      <c r="E186" s="80">
        <f t="shared" si="2"/>
        <v>26.66346153846154</v>
      </c>
      <c r="F186" s="68">
        <f>ROUND(YEARFRAC(B186,F9),0)</f>
        <v>2</v>
      </c>
      <c r="G186" s="73">
        <v>16</v>
      </c>
      <c r="H186" s="74">
        <v>32</v>
      </c>
      <c r="I186" s="65"/>
      <c r="J186" s="66">
        <v>1</v>
      </c>
      <c r="K186" s="66">
        <v>2</v>
      </c>
      <c r="L186" s="66">
        <v>2</v>
      </c>
      <c r="M186" s="50" t="s">
        <v>51</v>
      </c>
      <c r="N186" s="50" t="str">
        <f>VLOOKUP(M186,F417:G420,2,FALSE)</f>
        <v>Northeast</v>
      </c>
    </row>
    <row r="187" spans="1:14" ht="15.75">
      <c r="A187" s="62">
        <v>1424</v>
      </c>
      <c r="B187" s="63">
        <v>36234</v>
      </c>
      <c r="C187" s="64" t="s">
        <v>18</v>
      </c>
      <c r="D187" s="97">
        <v>84505</v>
      </c>
      <c r="E187" s="80">
        <f t="shared" si="2"/>
        <v>40.627403846153847</v>
      </c>
      <c r="F187" s="68">
        <f>ROUND(YEARFRAC(B187,F9),0)</f>
        <v>16</v>
      </c>
      <c r="G187" s="73">
        <v>14</v>
      </c>
      <c r="H187" s="74">
        <v>59</v>
      </c>
      <c r="I187" s="65" t="str">
        <f>IF(F187&gt;=10,"Yes","No")</f>
        <v>Yes</v>
      </c>
      <c r="J187" s="66">
        <v>3</v>
      </c>
      <c r="K187" s="66">
        <v>1</v>
      </c>
      <c r="L187" s="66">
        <v>1</v>
      </c>
      <c r="M187" s="50" t="s">
        <v>51</v>
      </c>
      <c r="N187" s="50" t="str">
        <f>VLOOKUP(M187,F417:G420,2,FALSE)</f>
        <v>Northeast</v>
      </c>
    </row>
    <row r="188" spans="1:14" ht="15.75">
      <c r="A188" s="62">
        <v>1426</v>
      </c>
      <c r="B188" s="63">
        <v>39375</v>
      </c>
      <c r="C188" s="64" t="s">
        <v>12</v>
      </c>
      <c r="D188" s="97">
        <v>45934</v>
      </c>
      <c r="E188" s="80">
        <f t="shared" si="2"/>
        <v>22.083653846153847</v>
      </c>
      <c r="F188" s="68">
        <f>ROUND(YEARFRAC(B188,F9),0)</f>
        <v>7</v>
      </c>
      <c r="G188" s="73">
        <v>12</v>
      </c>
      <c r="H188" s="74">
        <v>37</v>
      </c>
      <c r="I188" s="65"/>
      <c r="J188" s="66">
        <v>3</v>
      </c>
      <c r="K188" s="66">
        <v>1</v>
      </c>
      <c r="L188" s="66">
        <v>1</v>
      </c>
      <c r="M188" s="50" t="s">
        <v>52</v>
      </c>
      <c r="N188" s="50" t="str">
        <f>VLOOKUP(M188,F417:G420,2,FALSE)</f>
        <v>Midwest</v>
      </c>
    </row>
    <row r="189" spans="1:14" ht="15.75">
      <c r="A189" s="62">
        <v>1429</v>
      </c>
      <c r="B189" s="63">
        <v>40359</v>
      </c>
      <c r="C189" s="64" t="s">
        <v>18</v>
      </c>
      <c r="D189" s="97">
        <v>67692</v>
      </c>
      <c r="E189" s="80">
        <f t="shared" si="2"/>
        <v>32.544230769230772</v>
      </c>
      <c r="F189" s="68">
        <f>ROUND(YEARFRAC(B189,F9),0)</f>
        <v>5</v>
      </c>
      <c r="G189" s="73">
        <v>12</v>
      </c>
      <c r="H189" s="74">
        <v>32</v>
      </c>
      <c r="I189" s="65"/>
      <c r="J189" s="66">
        <v>1</v>
      </c>
      <c r="K189" s="66">
        <v>1</v>
      </c>
      <c r="L189" s="66">
        <v>1</v>
      </c>
      <c r="M189" s="50" t="s">
        <v>52</v>
      </c>
      <c r="N189" s="50" t="str">
        <f>VLOOKUP(M189,F417:G420,2,FALSE)</f>
        <v>Midwest</v>
      </c>
    </row>
    <row r="190" spans="1:14" ht="15.75">
      <c r="A190" s="62">
        <v>1432</v>
      </c>
      <c r="B190" s="63">
        <v>40101</v>
      </c>
      <c r="C190" s="64" t="s">
        <v>15</v>
      </c>
      <c r="D190" s="97">
        <v>71204</v>
      </c>
      <c r="E190" s="80">
        <f t="shared" si="2"/>
        <v>34.232692307692311</v>
      </c>
      <c r="F190" s="68">
        <f>ROUND(YEARFRAC(B190,F9),0)</f>
        <v>5</v>
      </c>
      <c r="G190" s="73">
        <v>16</v>
      </c>
      <c r="H190" s="74">
        <v>38</v>
      </c>
      <c r="I190" s="65"/>
      <c r="J190" s="66">
        <v>3</v>
      </c>
      <c r="K190" s="66">
        <v>1</v>
      </c>
      <c r="L190" s="66">
        <v>1</v>
      </c>
      <c r="M190" s="50" t="s">
        <v>51</v>
      </c>
      <c r="N190" s="50" t="str">
        <f>VLOOKUP(M190,F417:G420,2,FALSE)</f>
        <v>Northeast</v>
      </c>
    </row>
    <row r="191" spans="1:14" ht="15.75">
      <c r="A191" s="62">
        <v>1434</v>
      </c>
      <c r="B191" s="63">
        <v>39103</v>
      </c>
      <c r="C191" s="64" t="s">
        <v>12</v>
      </c>
      <c r="D191" s="97">
        <v>49797</v>
      </c>
      <c r="E191" s="80">
        <f t="shared" si="2"/>
        <v>23.940865384615385</v>
      </c>
      <c r="F191" s="68">
        <f>ROUND(YEARFRAC(B191,F9),0)</f>
        <v>8</v>
      </c>
      <c r="G191" s="73">
        <v>12</v>
      </c>
      <c r="H191" s="74">
        <v>39</v>
      </c>
      <c r="I191" s="65"/>
      <c r="J191" s="66">
        <v>2</v>
      </c>
      <c r="K191" s="66">
        <v>1</v>
      </c>
      <c r="L191" s="66">
        <v>1</v>
      </c>
      <c r="M191" s="50" t="s">
        <v>48</v>
      </c>
      <c r="N191" s="50" t="str">
        <f>VLOOKUP(M191,F417:G420,2,FALSE)</f>
        <v>C-Plains</v>
      </c>
    </row>
    <row r="192" spans="1:14" ht="15.75">
      <c r="A192" s="62">
        <v>1442</v>
      </c>
      <c r="B192" s="63">
        <v>40916</v>
      </c>
      <c r="C192" s="64" t="s">
        <v>14</v>
      </c>
      <c r="D192" s="97">
        <v>22415</v>
      </c>
      <c r="E192" s="80">
        <f t="shared" si="2"/>
        <v>10.776442307692308</v>
      </c>
      <c r="F192" s="68">
        <f>ROUND(YEARFRAC(B192,F9),0)</f>
        <v>3</v>
      </c>
      <c r="G192" s="73">
        <v>12</v>
      </c>
      <c r="H192" s="74">
        <v>25</v>
      </c>
      <c r="I192" s="65"/>
      <c r="J192" s="66">
        <v>1</v>
      </c>
      <c r="K192" s="66">
        <v>2</v>
      </c>
      <c r="L192" s="66">
        <v>2</v>
      </c>
      <c r="M192" s="50" t="s">
        <v>52</v>
      </c>
      <c r="N192" s="50" t="str">
        <f>VLOOKUP(M192,F417:G420,2,FALSE)</f>
        <v>Midwest</v>
      </c>
    </row>
    <row r="193" spans="1:14" ht="15.75">
      <c r="A193" s="62">
        <v>1443</v>
      </c>
      <c r="B193" s="63">
        <v>38972</v>
      </c>
      <c r="C193" s="64" t="s">
        <v>18</v>
      </c>
      <c r="D193" s="97">
        <v>69372</v>
      </c>
      <c r="E193" s="80">
        <f t="shared" si="2"/>
        <v>33.351923076923079</v>
      </c>
      <c r="F193" s="68">
        <f>ROUND(YEARFRAC(B193,F9),0)</f>
        <v>8</v>
      </c>
      <c r="G193" s="73">
        <v>12</v>
      </c>
      <c r="H193" s="74">
        <v>40</v>
      </c>
      <c r="I193" s="65"/>
      <c r="J193" s="66">
        <v>3</v>
      </c>
      <c r="K193" s="66">
        <v>1</v>
      </c>
      <c r="L193" s="66">
        <v>1</v>
      </c>
      <c r="M193" s="50" t="s">
        <v>51</v>
      </c>
      <c r="N193" s="50" t="str">
        <f>VLOOKUP(M193,F417:G420,2,FALSE)</f>
        <v>Northeast</v>
      </c>
    </row>
    <row r="194" spans="1:14" ht="15.75">
      <c r="A194" s="62">
        <v>1444</v>
      </c>
      <c r="B194" s="63">
        <v>37422</v>
      </c>
      <c r="C194" s="64" t="s">
        <v>26</v>
      </c>
      <c r="D194" s="97">
        <v>81221</v>
      </c>
      <c r="E194" s="80">
        <f t="shared" si="2"/>
        <v>39.048557692307689</v>
      </c>
      <c r="F194" s="68">
        <f>ROUND(YEARFRAC(B194,F9),0)</f>
        <v>13</v>
      </c>
      <c r="G194" s="73">
        <v>16</v>
      </c>
      <c r="H194" s="74">
        <v>42</v>
      </c>
      <c r="I194" s="65" t="str">
        <f>IF(F194&gt;=10,"Yes","No")</f>
        <v>Yes</v>
      </c>
      <c r="J194" s="66">
        <v>3</v>
      </c>
      <c r="K194" s="66">
        <v>2</v>
      </c>
      <c r="L194" s="66">
        <v>1</v>
      </c>
      <c r="M194" s="50" t="s">
        <v>52</v>
      </c>
      <c r="N194" s="50" t="str">
        <f>VLOOKUP(M194,F417:G420,2,FALSE)</f>
        <v>Midwest</v>
      </c>
    </row>
    <row r="195" spans="1:14" ht="15.75">
      <c r="A195" s="62">
        <v>1444</v>
      </c>
      <c r="B195" s="63">
        <v>40757</v>
      </c>
      <c r="C195" s="64" t="s">
        <v>16</v>
      </c>
      <c r="D195" s="97">
        <v>64415</v>
      </c>
      <c r="E195" s="80">
        <f t="shared" si="2"/>
        <v>30.96875</v>
      </c>
      <c r="F195" s="68">
        <f>ROUND(YEARFRAC(B195,F9),0)</f>
        <v>3</v>
      </c>
      <c r="G195" s="73">
        <v>16</v>
      </c>
      <c r="H195" s="74">
        <v>34</v>
      </c>
      <c r="I195" s="65"/>
      <c r="J195" s="66">
        <v>3</v>
      </c>
      <c r="K195" s="66">
        <v>1</v>
      </c>
      <c r="L195" s="66">
        <v>1</v>
      </c>
      <c r="M195" s="50" t="s">
        <v>52</v>
      </c>
      <c r="N195" s="50" t="str">
        <f>VLOOKUP(M195,F417:G420,2,FALSE)</f>
        <v>Midwest</v>
      </c>
    </row>
    <row r="196" spans="1:14" ht="15.75">
      <c r="A196" s="62">
        <v>1445</v>
      </c>
      <c r="B196" s="63">
        <v>40398</v>
      </c>
      <c r="C196" s="64" t="s">
        <v>12</v>
      </c>
      <c r="D196" s="97">
        <v>33808</v>
      </c>
      <c r="E196" s="80">
        <f t="shared" si="2"/>
        <v>16.253846153846155</v>
      </c>
      <c r="F196" s="68">
        <f>ROUND(YEARFRAC(B196,F9),0)</f>
        <v>4</v>
      </c>
      <c r="G196" s="73">
        <v>12</v>
      </c>
      <c r="H196" s="74">
        <v>28</v>
      </c>
      <c r="I196" s="65"/>
      <c r="J196" s="66">
        <v>3</v>
      </c>
      <c r="K196" s="66">
        <v>1</v>
      </c>
      <c r="L196" s="66">
        <v>1</v>
      </c>
      <c r="M196" s="50" t="s">
        <v>48</v>
      </c>
      <c r="N196" s="50" t="str">
        <f>VLOOKUP(M196,F417:G420,2,FALSE)</f>
        <v>C-Plains</v>
      </c>
    </row>
    <row r="197" spans="1:14" ht="15.75">
      <c r="A197" s="62">
        <v>1446</v>
      </c>
      <c r="B197" s="63">
        <v>38701</v>
      </c>
      <c r="C197" s="64" t="s">
        <v>13</v>
      </c>
      <c r="D197" s="97">
        <v>27574</v>
      </c>
      <c r="E197" s="80">
        <f t="shared" si="2"/>
        <v>13.256730769230769</v>
      </c>
      <c r="F197" s="68">
        <f>ROUND(YEARFRAC(B197,F9),0)</f>
        <v>9</v>
      </c>
      <c r="G197" s="73">
        <v>14</v>
      </c>
      <c r="H197" s="74">
        <v>30</v>
      </c>
      <c r="I197" s="65"/>
      <c r="J197" s="66">
        <v>4</v>
      </c>
      <c r="K197" s="66">
        <v>1</v>
      </c>
      <c r="L197" s="66">
        <v>2</v>
      </c>
      <c r="M197" s="50" t="s">
        <v>51</v>
      </c>
      <c r="N197" s="50" t="str">
        <f>VLOOKUP(M197,F417:G420,2,FALSE)</f>
        <v>Northeast</v>
      </c>
    </row>
    <row r="198" spans="1:14" ht="15.75">
      <c r="A198" s="62">
        <v>1447</v>
      </c>
      <c r="B198" s="63">
        <v>40469</v>
      </c>
      <c r="C198" s="64" t="s">
        <v>13</v>
      </c>
      <c r="D198" s="97">
        <v>23971</v>
      </c>
      <c r="E198" s="80">
        <f t="shared" si="2"/>
        <v>11.524519230769231</v>
      </c>
      <c r="F198" s="68">
        <f>ROUND(YEARFRAC(B198,F9),0)</f>
        <v>4</v>
      </c>
      <c r="G198" s="73">
        <v>12</v>
      </c>
      <c r="H198" s="74">
        <v>23</v>
      </c>
      <c r="I198" s="65"/>
      <c r="J198" s="66">
        <v>1</v>
      </c>
      <c r="K198" s="66">
        <v>1</v>
      </c>
      <c r="L198" s="66">
        <v>2</v>
      </c>
      <c r="M198" s="50" t="s">
        <v>51</v>
      </c>
      <c r="N198" s="50" t="str">
        <f>VLOOKUP(M198,F417:G420,2,FALSE)</f>
        <v>Northeast</v>
      </c>
    </row>
    <row r="199" spans="1:14" ht="15.75">
      <c r="A199" s="62">
        <v>1447</v>
      </c>
      <c r="B199" s="63">
        <v>41157</v>
      </c>
      <c r="C199" s="64" t="s">
        <v>16</v>
      </c>
      <c r="D199" s="97">
        <v>63836</v>
      </c>
      <c r="E199" s="80">
        <f t="shared" si="2"/>
        <v>30.690384615384616</v>
      </c>
      <c r="F199" s="68">
        <f>ROUND(YEARFRAC(B199,F9),0)</f>
        <v>2</v>
      </c>
      <c r="G199" s="73">
        <v>16</v>
      </c>
      <c r="H199" s="74">
        <v>32</v>
      </c>
      <c r="I199" s="65"/>
      <c r="J199" s="66">
        <v>3</v>
      </c>
      <c r="K199" s="66">
        <v>1</v>
      </c>
      <c r="L199" s="66">
        <v>1</v>
      </c>
      <c r="M199" s="50" t="s">
        <v>48</v>
      </c>
      <c r="N199" s="50" t="str">
        <f>VLOOKUP(M199,F417:G420,2,FALSE)</f>
        <v>C-Plains</v>
      </c>
    </row>
    <row r="200" spans="1:14" ht="15.75">
      <c r="A200" s="62">
        <v>1448</v>
      </c>
      <c r="B200" s="63">
        <v>40666</v>
      </c>
      <c r="C200" s="64" t="s">
        <v>14</v>
      </c>
      <c r="D200" s="97">
        <v>25456</v>
      </c>
      <c r="E200" s="80">
        <f t="shared" si="2"/>
        <v>12.238461538461538</v>
      </c>
      <c r="F200" s="68">
        <f>ROUND(YEARFRAC(B200,F9),0)</f>
        <v>4</v>
      </c>
      <c r="G200" s="73">
        <v>14</v>
      </c>
      <c r="H200" s="74">
        <v>31</v>
      </c>
      <c r="I200" s="65"/>
      <c r="J200" s="66">
        <v>4</v>
      </c>
      <c r="K200" s="66">
        <v>1</v>
      </c>
      <c r="L200" s="66">
        <v>2</v>
      </c>
      <c r="M200" s="50" t="s">
        <v>51</v>
      </c>
      <c r="N200" s="50" t="str">
        <f>VLOOKUP(M200,F417:G420,2,FALSE)</f>
        <v>Northeast</v>
      </c>
    </row>
    <row r="201" spans="1:14" ht="15.75">
      <c r="A201" s="62">
        <v>1450</v>
      </c>
      <c r="B201" s="63">
        <v>39835</v>
      </c>
      <c r="C201" s="64" t="s">
        <v>12</v>
      </c>
      <c r="D201" s="97">
        <v>40705</v>
      </c>
      <c r="E201" s="80">
        <f t="shared" si="2"/>
        <v>19.56971153846154</v>
      </c>
      <c r="F201" s="68">
        <f>ROUND(YEARFRAC(B201,F9),0)</f>
        <v>6</v>
      </c>
      <c r="G201" s="73">
        <v>12</v>
      </c>
      <c r="H201" s="74">
        <v>34</v>
      </c>
      <c r="I201" s="65"/>
      <c r="J201" s="66">
        <v>3</v>
      </c>
      <c r="K201" s="66">
        <v>1</v>
      </c>
      <c r="L201" s="66">
        <v>1</v>
      </c>
      <c r="M201" s="50" t="s">
        <v>48</v>
      </c>
      <c r="N201" s="50" t="str">
        <f>VLOOKUP(M201,F417:G420,2,FALSE)</f>
        <v>C-Plains</v>
      </c>
    </row>
    <row r="202" spans="1:14" ht="15.75">
      <c r="A202" s="62">
        <v>1452</v>
      </c>
      <c r="B202" s="63">
        <v>39027</v>
      </c>
      <c r="C202" s="64" t="s">
        <v>12</v>
      </c>
      <c r="D202" s="97">
        <v>49838</v>
      </c>
      <c r="E202" s="80">
        <f t="shared" si="2"/>
        <v>23.960576923076925</v>
      </c>
      <c r="F202" s="68">
        <f>ROUND(YEARFRAC(B202,F9),0)</f>
        <v>8</v>
      </c>
      <c r="G202" s="73">
        <v>12</v>
      </c>
      <c r="H202" s="74">
        <v>39</v>
      </c>
      <c r="I202" s="65"/>
      <c r="J202" s="66">
        <v>3</v>
      </c>
      <c r="K202" s="66">
        <v>1</v>
      </c>
      <c r="L202" s="66">
        <v>1</v>
      </c>
      <c r="M202" s="50" t="s">
        <v>52</v>
      </c>
      <c r="N202" s="50" t="str">
        <f>VLOOKUP(M202,F417:G420,2,FALSE)</f>
        <v>Midwest</v>
      </c>
    </row>
    <row r="203" spans="1:14" ht="15.75">
      <c r="A203" s="62">
        <v>1456</v>
      </c>
      <c r="B203" s="63">
        <v>39258</v>
      </c>
      <c r="C203" s="64" t="s">
        <v>12</v>
      </c>
      <c r="D203" s="97">
        <v>47522</v>
      </c>
      <c r="E203" s="80">
        <f t="shared" si="2"/>
        <v>22.847115384615385</v>
      </c>
      <c r="F203" s="68">
        <f>ROUND(YEARFRAC(B203,F9),0)</f>
        <v>8</v>
      </c>
      <c r="G203" s="73">
        <v>12</v>
      </c>
      <c r="H203" s="74">
        <v>38</v>
      </c>
      <c r="I203" s="65"/>
      <c r="J203" s="66">
        <v>1</v>
      </c>
      <c r="K203" s="66">
        <v>1</v>
      </c>
      <c r="L203" s="66">
        <v>1</v>
      </c>
      <c r="M203" s="50" t="s">
        <v>48</v>
      </c>
      <c r="N203" s="50" t="str">
        <f>VLOOKUP(M203,F417:G420,2,FALSE)</f>
        <v>C-Plains</v>
      </c>
    </row>
    <row r="204" spans="1:14" ht="15.75">
      <c r="A204" s="62">
        <v>1456</v>
      </c>
      <c r="B204" s="63">
        <v>38114</v>
      </c>
      <c r="C204" s="64" t="s">
        <v>18</v>
      </c>
      <c r="D204" s="97">
        <v>69997</v>
      </c>
      <c r="E204" s="80">
        <f t="shared" ref="E204:E267" si="3">D204/Annual_Hrs</f>
        <v>33.652403846153845</v>
      </c>
      <c r="F204" s="68">
        <f>ROUND(YEARFRAC(B204,F9),0)</f>
        <v>11</v>
      </c>
      <c r="G204" s="73">
        <v>12</v>
      </c>
      <c r="H204" s="74">
        <v>41</v>
      </c>
      <c r="I204" s="65" t="str">
        <f>IF(F204&gt;=10,"Yes","No")</f>
        <v>Yes</v>
      </c>
      <c r="J204" s="66">
        <v>1</v>
      </c>
      <c r="K204" s="66">
        <v>1</v>
      </c>
      <c r="L204" s="66">
        <v>1</v>
      </c>
      <c r="M204" s="50" t="s">
        <v>51</v>
      </c>
      <c r="N204" s="50" t="str">
        <f>VLOOKUP(M204,F417:G420,2,FALSE)</f>
        <v>Northeast</v>
      </c>
    </row>
    <row r="205" spans="1:14" ht="15.75">
      <c r="A205" s="62">
        <v>1461</v>
      </c>
      <c r="B205" s="63">
        <v>40463</v>
      </c>
      <c r="C205" s="64" t="s">
        <v>31</v>
      </c>
      <c r="D205" s="97">
        <v>53215</v>
      </c>
      <c r="E205" s="80">
        <f t="shared" si="3"/>
        <v>25.584134615384617</v>
      </c>
      <c r="F205" s="68">
        <f>ROUND(YEARFRAC(B205,F9),0)</f>
        <v>4</v>
      </c>
      <c r="G205" s="73">
        <v>16</v>
      </c>
      <c r="H205" s="74">
        <v>28</v>
      </c>
      <c r="I205" s="65"/>
      <c r="J205" s="66">
        <v>3</v>
      </c>
      <c r="K205" s="66">
        <v>1</v>
      </c>
      <c r="L205" s="66">
        <v>2</v>
      </c>
      <c r="M205" s="50" t="s">
        <v>52</v>
      </c>
      <c r="N205" s="50" t="str">
        <f>VLOOKUP(M205,F417:G420,2,FALSE)</f>
        <v>Midwest</v>
      </c>
    </row>
    <row r="206" spans="1:14" ht="15.75">
      <c r="A206" s="62">
        <v>1466</v>
      </c>
      <c r="B206" s="63">
        <v>39891</v>
      </c>
      <c r="C206" s="64" t="s">
        <v>12</v>
      </c>
      <c r="D206" s="97">
        <v>39634</v>
      </c>
      <c r="E206" s="80">
        <f t="shared" si="3"/>
        <v>19.054807692307691</v>
      </c>
      <c r="F206" s="68">
        <f>ROUND(YEARFRAC(B206,F9),0)</f>
        <v>6</v>
      </c>
      <c r="G206" s="73">
        <v>12</v>
      </c>
      <c r="H206" s="74">
        <v>34</v>
      </c>
      <c r="I206" s="65"/>
      <c r="J206" s="66">
        <v>1</v>
      </c>
      <c r="K206" s="66">
        <v>1</v>
      </c>
      <c r="L206" s="66">
        <v>1</v>
      </c>
      <c r="M206" s="50" t="s">
        <v>48</v>
      </c>
      <c r="N206" s="50" t="str">
        <f>VLOOKUP(M206,F417:G420,2,FALSE)</f>
        <v>C-Plains</v>
      </c>
    </row>
    <row r="207" spans="1:14" ht="15.75">
      <c r="A207" s="62">
        <v>1466</v>
      </c>
      <c r="B207" s="63">
        <v>41033</v>
      </c>
      <c r="C207" s="64" t="s">
        <v>16</v>
      </c>
      <c r="D207" s="97">
        <v>64329</v>
      </c>
      <c r="E207" s="80">
        <f t="shared" si="3"/>
        <v>30.927403846153847</v>
      </c>
      <c r="F207" s="68">
        <f>ROUND(YEARFRAC(B207,F9),0)</f>
        <v>3</v>
      </c>
      <c r="G207" s="73">
        <v>16</v>
      </c>
      <c r="H207" s="74">
        <v>33</v>
      </c>
      <c r="I207" s="65"/>
      <c r="J207" s="66">
        <v>3</v>
      </c>
      <c r="K207" s="66">
        <v>1</v>
      </c>
      <c r="L207" s="66">
        <v>2</v>
      </c>
      <c r="M207" s="50" t="s">
        <v>52</v>
      </c>
      <c r="N207" s="50" t="str">
        <f>VLOOKUP(M207,F417:G420,2,FALSE)</f>
        <v>Midwest</v>
      </c>
    </row>
    <row r="208" spans="1:14" ht="15.75">
      <c r="A208" s="62">
        <v>1468</v>
      </c>
      <c r="B208" s="4">
        <v>37093</v>
      </c>
      <c r="C208" s="64" t="s">
        <v>12</v>
      </c>
      <c r="D208" s="97">
        <v>56291</v>
      </c>
      <c r="E208" s="80">
        <f t="shared" si="3"/>
        <v>27.062980769230769</v>
      </c>
      <c r="F208" s="68">
        <f>ROUND(YEARFRAC(B208,F9),0)</f>
        <v>13</v>
      </c>
      <c r="G208" s="73">
        <v>12</v>
      </c>
      <c r="H208" s="74">
        <v>50</v>
      </c>
      <c r="I208" s="65" t="str">
        <f>IF(F208&gt;=10,"Yes","No")</f>
        <v>Yes</v>
      </c>
      <c r="J208" s="66">
        <v>1</v>
      </c>
      <c r="K208" s="66">
        <v>1</v>
      </c>
      <c r="L208" s="66">
        <v>2</v>
      </c>
      <c r="M208" s="50" t="s">
        <v>48</v>
      </c>
      <c r="N208" s="50" t="str">
        <f>VLOOKUP(M208,F417:G420,2,FALSE)</f>
        <v>C-Plains</v>
      </c>
    </row>
    <row r="209" spans="1:14" ht="15.75">
      <c r="A209" s="62">
        <v>1471</v>
      </c>
      <c r="B209" s="63">
        <v>40004</v>
      </c>
      <c r="C209" s="64" t="s">
        <v>12</v>
      </c>
      <c r="D209" s="97">
        <v>36729</v>
      </c>
      <c r="E209" s="80">
        <f t="shared" si="3"/>
        <v>17.658173076923077</v>
      </c>
      <c r="F209" s="68">
        <f>ROUND(YEARFRAC(B209,F9),0)</f>
        <v>5</v>
      </c>
      <c r="G209" s="73">
        <v>12</v>
      </c>
      <c r="H209" s="74">
        <v>32</v>
      </c>
      <c r="I209" s="65"/>
      <c r="J209" s="66">
        <v>3</v>
      </c>
      <c r="K209" s="66">
        <v>1</v>
      </c>
      <c r="L209" s="66">
        <v>1</v>
      </c>
      <c r="M209" s="50" t="s">
        <v>51</v>
      </c>
      <c r="N209" s="50" t="str">
        <f>VLOOKUP(M209,F417:G420,2,FALSE)</f>
        <v>Northeast</v>
      </c>
    </row>
    <row r="210" spans="1:14" ht="15.75">
      <c r="A210" s="62">
        <v>1474</v>
      </c>
      <c r="B210" s="63">
        <v>39897</v>
      </c>
      <c r="C210" s="64" t="s">
        <v>12</v>
      </c>
      <c r="D210" s="97">
        <v>39331</v>
      </c>
      <c r="E210" s="80">
        <f t="shared" si="3"/>
        <v>18.909134615384616</v>
      </c>
      <c r="F210" s="68">
        <f>ROUND(YEARFRAC(B210,F9),0)</f>
        <v>6</v>
      </c>
      <c r="G210" s="73">
        <v>12</v>
      </c>
      <c r="H210" s="74">
        <v>34</v>
      </c>
      <c r="I210" s="65"/>
      <c r="J210" s="66">
        <v>3</v>
      </c>
      <c r="K210" s="66">
        <v>1</v>
      </c>
      <c r="L210" s="66">
        <v>1</v>
      </c>
      <c r="M210" s="50" t="s">
        <v>48</v>
      </c>
      <c r="N210" s="50" t="str">
        <f>VLOOKUP(M210,F417:G420,2,FALSE)</f>
        <v>C-Plains</v>
      </c>
    </row>
    <row r="211" spans="1:14" ht="15.75">
      <c r="A211" s="62">
        <v>1476</v>
      </c>
      <c r="B211" s="63">
        <v>40686</v>
      </c>
      <c r="C211" s="64" t="s">
        <v>17</v>
      </c>
      <c r="D211" s="97">
        <v>48560</v>
      </c>
      <c r="E211" s="80">
        <f t="shared" si="3"/>
        <v>23.346153846153847</v>
      </c>
      <c r="F211" s="68">
        <f>ROUND(YEARFRAC(B211,F9),0)</f>
        <v>4</v>
      </c>
      <c r="G211" s="73">
        <v>14</v>
      </c>
      <c r="H211" s="74">
        <v>32</v>
      </c>
      <c r="I211" s="65"/>
      <c r="J211" s="66">
        <v>3</v>
      </c>
      <c r="K211" s="66">
        <v>2</v>
      </c>
      <c r="L211" s="66">
        <v>1</v>
      </c>
      <c r="M211" s="50" t="s">
        <v>52</v>
      </c>
      <c r="N211" s="50" t="str">
        <f>VLOOKUP(M211,F417:G420,2,FALSE)</f>
        <v>Midwest</v>
      </c>
    </row>
    <row r="212" spans="1:14" ht="15.75">
      <c r="A212" s="62">
        <v>1477</v>
      </c>
      <c r="B212" s="63">
        <v>37695</v>
      </c>
      <c r="C212" s="64" t="s">
        <v>17</v>
      </c>
      <c r="D212" s="97">
        <v>63388</v>
      </c>
      <c r="E212" s="80">
        <f t="shared" si="3"/>
        <v>30.475000000000001</v>
      </c>
      <c r="F212" s="68">
        <f>ROUND(YEARFRAC(B212,F9),0)</f>
        <v>12</v>
      </c>
      <c r="G212" s="73">
        <v>16</v>
      </c>
      <c r="H212" s="74">
        <v>44</v>
      </c>
      <c r="I212" s="65" t="str">
        <f>IF(F212&gt;=10,"Yes","No")</f>
        <v>Yes</v>
      </c>
      <c r="J212" s="66">
        <v>3</v>
      </c>
      <c r="K212" s="66">
        <v>2</v>
      </c>
      <c r="L212" s="66">
        <v>1</v>
      </c>
      <c r="M212" s="50" t="s">
        <v>51</v>
      </c>
      <c r="N212" s="50" t="str">
        <f>VLOOKUP(M212,F417:G420,2,FALSE)</f>
        <v>Northeast</v>
      </c>
    </row>
    <row r="213" spans="1:14" ht="15.75">
      <c r="A213" s="62">
        <v>1477</v>
      </c>
      <c r="B213" s="63">
        <v>40923</v>
      </c>
      <c r="C213" s="64" t="s">
        <v>20</v>
      </c>
      <c r="D213" s="97">
        <v>33169</v>
      </c>
      <c r="E213" s="80">
        <f t="shared" si="3"/>
        <v>15.946634615384616</v>
      </c>
      <c r="F213" s="68">
        <f>ROUND(YEARFRAC(B213,F9),0)</f>
        <v>3</v>
      </c>
      <c r="G213" s="73">
        <v>12</v>
      </c>
      <c r="H213" s="74">
        <v>23</v>
      </c>
      <c r="I213" s="65"/>
      <c r="J213" s="66">
        <v>1</v>
      </c>
      <c r="K213" s="66">
        <v>1</v>
      </c>
      <c r="L213" s="66">
        <v>2</v>
      </c>
      <c r="M213" s="50" t="s">
        <v>51</v>
      </c>
      <c r="N213" s="50" t="str">
        <f>VLOOKUP(M213,F417:G420,2,FALSE)</f>
        <v>Northeast</v>
      </c>
    </row>
    <row r="214" spans="1:14" ht="15.75">
      <c r="A214" s="62">
        <v>1481</v>
      </c>
      <c r="B214" s="63">
        <v>37870</v>
      </c>
      <c r="C214" s="64" t="s">
        <v>12</v>
      </c>
      <c r="D214" s="97">
        <v>54158</v>
      </c>
      <c r="E214" s="80">
        <f t="shared" si="3"/>
        <v>26.037500000000001</v>
      </c>
      <c r="F214" s="68">
        <f>ROUND(YEARFRAC(B214,F9),0)</f>
        <v>11</v>
      </c>
      <c r="G214" s="73">
        <v>12</v>
      </c>
      <c r="H214" s="74">
        <v>47</v>
      </c>
      <c r="I214" s="65" t="str">
        <f>IF(F214&gt;=10,"Yes","No")</f>
        <v>Yes</v>
      </c>
      <c r="J214" s="66">
        <v>3</v>
      </c>
      <c r="K214" s="66">
        <v>1</v>
      </c>
      <c r="L214" s="66">
        <v>1</v>
      </c>
      <c r="M214" s="50" t="s">
        <v>48</v>
      </c>
      <c r="N214" s="50" t="str">
        <f>VLOOKUP(M214,F417:G420,2,FALSE)</f>
        <v>C-Plains</v>
      </c>
    </row>
    <row r="215" spans="1:14" ht="15.75">
      <c r="A215" s="62">
        <v>1484</v>
      </c>
      <c r="B215" s="63">
        <v>39876</v>
      </c>
      <c r="C215" s="64" t="s">
        <v>20</v>
      </c>
      <c r="D215" s="97">
        <v>45622</v>
      </c>
      <c r="E215" s="80">
        <f t="shared" si="3"/>
        <v>21.933653846153845</v>
      </c>
      <c r="F215" s="68">
        <f>ROUND(YEARFRAC(B215,F9),0)</f>
        <v>6</v>
      </c>
      <c r="G215" s="73">
        <v>14</v>
      </c>
      <c r="H215" s="74">
        <v>35</v>
      </c>
      <c r="I215" s="65"/>
      <c r="J215" s="66">
        <v>1</v>
      </c>
      <c r="K215" s="66">
        <v>2</v>
      </c>
      <c r="L215" s="66">
        <v>1</v>
      </c>
      <c r="M215" s="50" t="s">
        <v>51</v>
      </c>
      <c r="N215" s="50" t="str">
        <f>VLOOKUP(M215,F417:G420,2,FALSE)</f>
        <v>Northeast</v>
      </c>
    </row>
    <row r="216" spans="1:14" ht="15.75">
      <c r="A216" s="62">
        <v>1492</v>
      </c>
      <c r="B216" s="4">
        <v>37189</v>
      </c>
      <c r="C216" s="64" t="s">
        <v>12</v>
      </c>
      <c r="D216" s="97">
        <v>55936</v>
      </c>
      <c r="E216" s="80">
        <f t="shared" si="3"/>
        <v>26.892307692307693</v>
      </c>
      <c r="F216" s="68">
        <f>ROUND(YEARFRAC(B216,F9),0)</f>
        <v>13</v>
      </c>
      <c r="G216" s="73">
        <v>12</v>
      </c>
      <c r="H216" s="74">
        <v>49</v>
      </c>
      <c r="I216" s="65" t="str">
        <f>IF(F216&gt;=10,"Yes","No")</f>
        <v>Yes</v>
      </c>
      <c r="J216" s="66">
        <v>1</v>
      </c>
      <c r="K216" s="66">
        <v>1</v>
      </c>
      <c r="L216" s="66">
        <v>2</v>
      </c>
      <c r="M216" s="50" t="s">
        <v>52</v>
      </c>
      <c r="N216" s="50" t="str">
        <f>VLOOKUP(M216,F417:G420,2,FALSE)</f>
        <v>Midwest</v>
      </c>
    </row>
    <row r="217" spans="1:14" ht="15.75">
      <c r="A217" s="62">
        <v>1496</v>
      </c>
      <c r="B217" s="63">
        <v>41401</v>
      </c>
      <c r="C217" s="64" t="s">
        <v>20</v>
      </c>
      <c r="D217" s="97">
        <v>31035</v>
      </c>
      <c r="E217" s="80">
        <f t="shared" si="3"/>
        <v>14.920673076923077</v>
      </c>
      <c r="F217" s="68">
        <f>ROUND(YEARFRAC(B217,F9),0)</f>
        <v>2</v>
      </c>
      <c r="G217" s="73">
        <v>12</v>
      </c>
      <c r="H217" s="74">
        <v>19</v>
      </c>
      <c r="I217" s="65"/>
      <c r="J217" s="66">
        <v>1</v>
      </c>
      <c r="K217" s="66">
        <v>1</v>
      </c>
      <c r="L217" s="66">
        <v>2</v>
      </c>
      <c r="M217" s="50" t="s">
        <v>48</v>
      </c>
      <c r="N217" s="50" t="str">
        <f>VLOOKUP(M217,F417:G420,2,FALSE)</f>
        <v>C-Plains</v>
      </c>
    </row>
    <row r="218" spans="1:14" ht="15.75">
      <c r="A218" s="62">
        <v>1498</v>
      </c>
      <c r="B218" s="63">
        <v>40596</v>
      </c>
      <c r="C218" s="64" t="s">
        <v>12</v>
      </c>
      <c r="D218" s="97">
        <v>33574</v>
      </c>
      <c r="E218" s="80">
        <f t="shared" si="3"/>
        <v>16.141346153846154</v>
      </c>
      <c r="F218" s="68">
        <f>ROUND(YEARFRAC(B218,F9),0)</f>
        <v>4</v>
      </c>
      <c r="G218" s="73">
        <v>12</v>
      </c>
      <c r="H218" s="74">
        <v>27</v>
      </c>
      <c r="I218" s="65"/>
      <c r="J218" s="66">
        <v>1</v>
      </c>
      <c r="K218" s="66">
        <v>1</v>
      </c>
      <c r="L218" s="66">
        <v>1</v>
      </c>
      <c r="M218" s="50" t="s">
        <v>52</v>
      </c>
      <c r="N218" s="50" t="str">
        <f>VLOOKUP(M218,F417:G420,2,FALSE)</f>
        <v>Midwest</v>
      </c>
    </row>
    <row r="219" spans="1:14" ht="15.75">
      <c r="A219" s="62">
        <v>1498</v>
      </c>
      <c r="B219" s="63">
        <v>41490</v>
      </c>
      <c r="C219" s="64" t="s">
        <v>18</v>
      </c>
      <c r="D219" s="97">
        <v>65283</v>
      </c>
      <c r="E219" s="80">
        <f t="shared" si="3"/>
        <v>31.386057692307691</v>
      </c>
      <c r="F219" s="68">
        <f>ROUND(YEARFRAC(B219,F9),0)</f>
        <v>1</v>
      </c>
      <c r="G219" s="73">
        <v>12</v>
      </c>
      <c r="H219" s="74">
        <v>28</v>
      </c>
      <c r="I219" s="65"/>
      <c r="J219" s="66">
        <v>4</v>
      </c>
      <c r="K219" s="66">
        <v>2</v>
      </c>
      <c r="L219" s="66">
        <v>1</v>
      </c>
      <c r="M219" s="50" t="s">
        <v>48</v>
      </c>
      <c r="N219" s="50" t="str">
        <f>VLOOKUP(M219,F417:G420,2,FALSE)</f>
        <v>C-Plains</v>
      </c>
    </row>
    <row r="220" spans="1:14" ht="15.75">
      <c r="A220" s="62">
        <v>1504</v>
      </c>
      <c r="B220" s="63">
        <v>38425</v>
      </c>
      <c r="C220" s="64" t="s">
        <v>12</v>
      </c>
      <c r="D220" s="97">
        <v>52104</v>
      </c>
      <c r="E220" s="80">
        <f t="shared" si="3"/>
        <v>25.05</v>
      </c>
      <c r="F220" s="68">
        <f>ROUND(YEARFRAC(B220,F9),0)</f>
        <v>10</v>
      </c>
      <c r="G220" s="73">
        <v>12</v>
      </c>
      <c r="H220" s="74">
        <v>44</v>
      </c>
      <c r="I220" s="65"/>
      <c r="J220" s="66">
        <v>1</v>
      </c>
      <c r="K220" s="66">
        <v>1</v>
      </c>
      <c r="L220" s="66">
        <v>1</v>
      </c>
      <c r="M220" s="50" t="s">
        <v>51</v>
      </c>
      <c r="N220" s="50" t="str">
        <f>VLOOKUP(M220,F417:G420,2,FALSE)</f>
        <v>Northeast</v>
      </c>
    </row>
    <row r="221" spans="1:14" ht="15.75">
      <c r="A221" s="62">
        <v>1504</v>
      </c>
      <c r="B221" s="63">
        <v>40298</v>
      </c>
      <c r="C221" s="64" t="s">
        <v>20</v>
      </c>
      <c r="D221" s="97">
        <v>38455</v>
      </c>
      <c r="E221" s="80">
        <f t="shared" si="3"/>
        <v>18.48798076923077</v>
      </c>
      <c r="F221" s="68">
        <f>ROUND(YEARFRAC(B221,F9),0)</f>
        <v>5</v>
      </c>
      <c r="G221" s="73">
        <v>12</v>
      </c>
      <c r="H221" s="74">
        <v>28</v>
      </c>
      <c r="I221" s="65"/>
      <c r="J221" s="66">
        <v>3</v>
      </c>
      <c r="K221" s="66">
        <v>2</v>
      </c>
      <c r="L221" s="66">
        <v>1</v>
      </c>
      <c r="M221" s="50" t="s">
        <v>51</v>
      </c>
      <c r="N221" s="50" t="str">
        <f>VLOOKUP(M221,F417:G420,2,FALSE)</f>
        <v>Northeast</v>
      </c>
    </row>
    <row r="222" spans="1:14" ht="15.75">
      <c r="A222" s="62">
        <v>1505</v>
      </c>
      <c r="B222" s="63">
        <v>40518</v>
      </c>
      <c r="C222" s="64" t="s">
        <v>12</v>
      </c>
      <c r="D222" s="97">
        <v>33609</v>
      </c>
      <c r="E222" s="80">
        <f t="shared" si="3"/>
        <v>16.158173076923077</v>
      </c>
      <c r="F222" s="68">
        <f>ROUND(YEARFRAC(B222,F9),0)</f>
        <v>4</v>
      </c>
      <c r="G222" s="73">
        <v>12</v>
      </c>
      <c r="H222" s="74">
        <v>28</v>
      </c>
      <c r="I222" s="65"/>
      <c r="J222" s="66">
        <v>1</v>
      </c>
      <c r="K222" s="66">
        <v>2</v>
      </c>
      <c r="L222" s="66">
        <v>1</v>
      </c>
      <c r="M222" s="50" t="s">
        <v>52</v>
      </c>
      <c r="N222" s="50" t="str">
        <f>VLOOKUP(M222,F417:G420,2,FALSE)</f>
        <v>Midwest</v>
      </c>
    </row>
    <row r="223" spans="1:14" ht="15.75">
      <c r="A223" s="62">
        <v>1506</v>
      </c>
      <c r="B223" s="63">
        <v>38165</v>
      </c>
      <c r="C223" s="64" t="s">
        <v>34</v>
      </c>
      <c r="D223" s="97">
        <v>88517</v>
      </c>
      <c r="E223" s="80">
        <f t="shared" si="3"/>
        <v>42.556249999999999</v>
      </c>
      <c r="F223" s="68">
        <f>ROUND(YEARFRAC(B223,F9),0)</f>
        <v>11</v>
      </c>
      <c r="G223" s="73">
        <v>19</v>
      </c>
      <c r="H223" s="74">
        <v>43</v>
      </c>
      <c r="I223" s="65" t="str">
        <f>IF(F223&gt;=10,"Yes","No")</f>
        <v>Yes</v>
      </c>
      <c r="J223" s="66">
        <v>1</v>
      </c>
      <c r="K223" s="66">
        <v>1</v>
      </c>
      <c r="L223" s="66">
        <v>1</v>
      </c>
      <c r="M223" s="50" t="s">
        <v>48</v>
      </c>
      <c r="N223" s="50" t="str">
        <f>VLOOKUP(M223,F417:G420,2,FALSE)</f>
        <v>C-Plains</v>
      </c>
    </row>
    <row r="224" spans="1:14" ht="15.75">
      <c r="A224" s="62">
        <v>1507</v>
      </c>
      <c r="B224" s="63">
        <v>41744</v>
      </c>
      <c r="C224" s="64" t="s">
        <v>13</v>
      </c>
      <c r="D224" s="97">
        <v>15182</v>
      </c>
      <c r="E224" s="80">
        <f t="shared" si="3"/>
        <v>7.2990384615384611</v>
      </c>
      <c r="F224" s="68">
        <f>ROUND(YEARFRAC(B224,F9),0)</f>
        <v>1</v>
      </c>
      <c r="G224" s="73">
        <v>12</v>
      </c>
      <c r="H224" s="74">
        <v>18</v>
      </c>
      <c r="I224" s="65"/>
      <c r="J224" s="66">
        <v>1</v>
      </c>
      <c r="K224" s="66">
        <v>1</v>
      </c>
      <c r="L224" s="66">
        <v>2</v>
      </c>
      <c r="M224" s="50" t="s">
        <v>52</v>
      </c>
      <c r="N224" s="50" t="str">
        <f>VLOOKUP(M224,F417:G420,2,FALSE)</f>
        <v>Midwest</v>
      </c>
    </row>
    <row r="225" spans="1:14" ht="15.75">
      <c r="A225" s="62">
        <v>1513</v>
      </c>
      <c r="B225" s="63">
        <v>37847</v>
      </c>
      <c r="C225" s="64" t="s">
        <v>12</v>
      </c>
      <c r="D225" s="97">
        <v>54358</v>
      </c>
      <c r="E225" s="80">
        <f t="shared" si="3"/>
        <v>26.133653846153845</v>
      </c>
      <c r="F225" s="68">
        <f>ROUND(YEARFRAC(B225,F9),0)</f>
        <v>11</v>
      </c>
      <c r="G225" s="73">
        <v>12</v>
      </c>
      <c r="H225" s="74">
        <v>47</v>
      </c>
      <c r="I225" s="65" t="str">
        <f>IF(F225&gt;=10,"Yes","No")</f>
        <v>Yes</v>
      </c>
      <c r="J225" s="66">
        <v>3</v>
      </c>
      <c r="K225" s="66">
        <v>1</v>
      </c>
      <c r="L225" s="66">
        <v>1</v>
      </c>
      <c r="M225" s="50" t="s">
        <v>51</v>
      </c>
      <c r="N225" s="50" t="str">
        <f>VLOOKUP(M225,F417:G420,2,FALSE)</f>
        <v>Northeast</v>
      </c>
    </row>
    <row r="226" spans="1:14" ht="15.75">
      <c r="A226" s="62">
        <v>1515</v>
      </c>
      <c r="B226" s="63">
        <v>36647</v>
      </c>
      <c r="C226" s="64" t="s">
        <v>27</v>
      </c>
      <c r="D226" s="97">
        <v>66230</v>
      </c>
      <c r="E226" s="80">
        <f t="shared" si="3"/>
        <v>31.841346153846153</v>
      </c>
      <c r="F226" s="68">
        <f>ROUND(YEARFRAC(B226,F9),0)</f>
        <v>15</v>
      </c>
      <c r="G226" s="73">
        <v>16</v>
      </c>
      <c r="H226" s="74">
        <v>36</v>
      </c>
      <c r="I226" s="65" t="str">
        <f>IF(F226&gt;=10,"Yes","No")</f>
        <v>Yes</v>
      </c>
      <c r="J226" s="66">
        <v>3</v>
      </c>
      <c r="K226" s="66">
        <v>2</v>
      </c>
      <c r="L226" s="66">
        <v>2</v>
      </c>
      <c r="M226" s="50" t="s">
        <v>48</v>
      </c>
      <c r="N226" s="50" t="str">
        <f>VLOOKUP(M226,F417:G420,2,FALSE)</f>
        <v>C-Plains</v>
      </c>
    </row>
    <row r="227" spans="1:14" ht="15.75">
      <c r="A227" s="62">
        <v>1517</v>
      </c>
      <c r="B227" s="63">
        <v>41225</v>
      </c>
      <c r="C227" s="64" t="s">
        <v>64</v>
      </c>
      <c r="D227" s="97">
        <v>62572</v>
      </c>
      <c r="E227" s="80">
        <f t="shared" si="3"/>
        <v>30.082692307692309</v>
      </c>
      <c r="F227" s="68">
        <f>ROUND(YEARFRAC(B227,F9),0)</f>
        <v>2</v>
      </c>
      <c r="G227" s="73">
        <v>16</v>
      </c>
      <c r="H227" s="74">
        <v>26</v>
      </c>
      <c r="I227" s="65"/>
      <c r="J227" s="66">
        <v>1</v>
      </c>
      <c r="K227" s="66">
        <v>2</v>
      </c>
      <c r="L227" s="66">
        <v>2</v>
      </c>
      <c r="M227" s="50" t="s">
        <v>52</v>
      </c>
      <c r="N227" s="50" t="str">
        <f>VLOOKUP(M227,F417:G420,2,FALSE)</f>
        <v>Midwest</v>
      </c>
    </row>
    <row r="228" spans="1:14" ht="15.75">
      <c r="A228" s="62">
        <v>1519</v>
      </c>
      <c r="B228" s="63">
        <v>40698</v>
      </c>
      <c r="C228" s="64" t="s">
        <v>15</v>
      </c>
      <c r="D228" s="97">
        <v>63010</v>
      </c>
      <c r="E228" s="80">
        <f t="shared" si="3"/>
        <v>30.29326923076923</v>
      </c>
      <c r="F228" s="68">
        <f>ROUND(YEARFRAC(B228,F9),0)</f>
        <v>4</v>
      </c>
      <c r="G228" s="73">
        <v>16</v>
      </c>
      <c r="H228" s="74">
        <v>33</v>
      </c>
      <c r="I228" s="65"/>
      <c r="J228" s="66">
        <v>3</v>
      </c>
      <c r="K228" s="66">
        <v>1</v>
      </c>
      <c r="L228" s="66">
        <v>2</v>
      </c>
      <c r="M228" s="50" t="s">
        <v>52</v>
      </c>
      <c r="N228" s="50" t="str">
        <f>VLOOKUP(M228,F417:G420,2,FALSE)</f>
        <v>Midwest</v>
      </c>
    </row>
    <row r="229" spans="1:14" ht="15.75">
      <c r="A229" s="62">
        <v>1519</v>
      </c>
      <c r="B229" s="63">
        <v>41320</v>
      </c>
      <c r="C229" s="64" t="s">
        <v>12</v>
      </c>
      <c r="D229" s="97">
        <v>29819</v>
      </c>
      <c r="E229" s="80">
        <f t="shared" si="3"/>
        <v>14.336057692307692</v>
      </c>
      <c r="F229" s="68">
        <f>ROUND(YEARFRAC(B229,F9),0)</f>
        <v>2</v>
      </c>
      <c r="G229" s="73">
        <v>12</v>
      </c>
      <c r="H229" s="74">
        <v>19</v>
      </c>
      <c r="I229" s="65"/>
      <c r="J229" s="66">
        <v>4</v>
      </c>
      <c r="K229" s="66">
        <v>2</v>
      </c>
      <c r="L229" s="66">
        <v>2</v>
      </c>
      <c r="M229" s="50" t="s">
        <v>48</v>
      </c>
      <c r="N229" s="50" t="str">
        <f>VLOOKUP(M229,F417:G420,2,FALSE)</f>
        <v>C-Plains</v>
      </c>
    </row>
    <row r="230" spans="1:14" ht="15.75">
      <c r="A230" s="62">
        <v>1523</v>
      </c>
      <c r="B230" s="63">
        <v>40684</v>
      </c>
      <c r="C230" s="64" t="s">
        <v>27</v>
      </c>
      <c r="D230" s="97">
        <v>50767</v>
      </c>
      <c r="E230" s="80">
        <f t="shared" si="3"/>
        <v>24.407211538461539</v>
      </c>
      <c r="F230" s="68">
        <f>ROUND(YEARFRAC(B230,F9),0)</f>
        <v>4</v>
      </c>
      <c r="G230" s="73">
        <v>16</v>
      </c>
      <c r="H230" s="74">
        <v>35</v>
      </c>
      <c r="I230" s="65"/>
      <c r="J230" s="66">
        <v>2</v>
      </c>
      <c r="K230" s="66">
        <v>1</v>
      </c>
      <c r="L230" s="66">
        <v>2</v>
      </c>
      <c r="M230" s="50" t="s">
        <v>52</v>
      </c>
      <c r="N230" s="50" t="str">
        <f>VLOOKUP(M230,F417:G420,2,FALSE)</f>
        <v>Midwest</v>
      </c>
    </row>
    <row r="231" spans="1:14" ht="15.75">
      <c r="A231" s="62">
        <v>1525</v>
      </c>
      <c r="B231" s="63">
        <v>38481</v>
      </c>
      <c r="C231" s="64" t="s">
        <v>13</v>
      </c>
      <c r="D231" s="97">
        <v>27633</v>
      </c>
      <c r="E231" s="80">
        <f t="shared" si="3"/>
        <v>13.285096153846155</v>
      </c>
      <c r="F231" s="68">
        <f>ROUND(YEARFRAC(B231,F9),0)</f>
        <v>10</v>
      </c>
      <c r="G231" s="73">
        <v>12</v>
      </c>
      <c r="H231" s="74">
        <v>30</v>
      </c>
      <c r="I231" s="65"/>
      <c r="J231" s="66">
        <v>3</v>
      </c>
      <c r="K231" s="66">
        <v>1</v>
      </c>
      <c r="L231" s="66">
        <v>2</v>
      </c>
      <c r="M231" s="50" t="s">
        <v>48</v>
      </c>
      <c r="N231" s="50" t="str">
        <f>VLOOKUP(M231,F417:G420,2,FALSE)</f>
        <v>C-Plains</v>
      </c>
    </row>
    <row r="232" spans="1:14" ht="15.75">
      <c r="A232" s="62">
        <v>1527</v>
      </c>
      <c r="B232" s="63">
        <v>36234</v>
      </c>
      <c r="C232" s="64" t="s">
        <v>12</v>
      </c>
      <c r="D232" s="97">
        <v>59872</v>
      </c>
      <c r="E232" s="80">
        <f t="shared" si="3"/>
        <v>28.784615384615385</v>
      </c>
      <c r="F232" s="68">
        <f>ROUND(YEARFRAC(B232,F9),0)</f>
        <v>16</v>
      </c>
      <c r="G232" s="73">
        <v>12</v>
      </c>
      <c r="H232" s="74">
        <v>54</v>
      </c>
      <c r="I232" s="65" t="str">
        <f>IF(F232&gt;=10,"Yes","No")</f>
        <v>Yes</v>
      </c>
      <c r="J232" s="66">
        <v>3</v>
      </c>
      <c r="K232" s="66">
        <v>1</v>
      </c>
      <c r="L232" s="66">
        <v>1</v>
      </c>
      <c r="M232" s="50" t="s">
        <v>51</v>
      </c>
      <c r="N232" s="50" t="str">
        <f>VLOOKUP(M232,F418:G421,2,FALSE)</f>
        <v>Northeast</v>
      </c>
    </row>
    <row r="233" spans="1:14" ht="15.75">
      <c r="A233" s="62">
        <v>1529</v>
      </c>
      <c r="B233" s="63">
        <v>40832</v>
      </c>
      <c r="C233" s="64" t="s">
        <v>12</v>
      </c>
      <c r="D233" s="97">
        <v>32797</v>
      </c>
      <c r="E233" s="80">
        <f t="shared" si="3"/>
        <v>15.767788461538462</v>
      </c>
      <c r="F233" s="68">
        <f>ROUND(YEARFRAC(B233,F9),0)</f>
        <v>3</v>
      </c>
      <c r="G233" s="73">
        <v>12</v>
      </c>
      <c r="H233" s="74">
        <v>24</v>
      </c>
      <c r="I233" s="65"/>
      <c r="J233" s="66">
        <v>3</v>
      </c>
      <c r="K233" s="66">
        <v>1</v>
      </c>
      <c r="L233" s="66">
        <v>1</v>
      </c>
      <c r="M233" s="50" t="s">
        <v>48</v>
      </c>
      <c r="N233" s="50" t="str">
        <f>VLOOKUP(M233,F417:G420,2,FALSE)</f>
        <v>C-Plains</v>
      </c>
    </row>
    <row r="234" spans="1:14" ht="15.75">
      <c r="A234" s="62">
        <v>1531</v>
      </c>
      <c r="B234" s="63">
        <v>41371</v>
      </c>
      <c r="C234" s="64" t="s">
        <v>15</v>
      </c>
      <c r="D234" s="97">
        <v>62412</v>
      </c>
      <c r="E234" s="80">
        <f t="shared" si="3"/>
        <v>30.005769230769232</v>
      </c>
      <c r="F234" s="68">
        <f>ROUND(YEARFRAC(B234,F9),0)</f>
        <v>2</v>
      </c>
      <c r="G234" s="73">
        <v>16</v>
      </c>
      <c r="H234" s="74">
        <v>32</v>
      </c>
      <c r="I234" s="65"/>
      <c r="J234" s="66">
        <v>3</v>
      </c>
      <c r="K234" s="66">
        <v>1</v>
      </c>
      <c r="L234" s="66">
        <v>2</v>
      </c>
      <c r="M234" s="50" t="s">
        <v>51</v>
      </c>
      <c r="N234" s="50" t="str">
        <f>VLOOKUP(M234,F417:G420,2,FALSE)</f>
        <v>Northeast</v>
      </c>
    </row>
    <row r="235" spans="1:14" ht="15.75">
      <c r="A235" s="62">
        <v>1533</v>
      </c>
      <c r="B235" s="63">
        <v>39444</v>
      </c>
      <c r="C235" s="64" t="s">
        <v>12</v>
      </c>
      <c r="D235" s="97">
        <v>45283</v>
      </c>
      <c r="E235" s="80">
        <f t="shared" si="3"/>
        <v>21.770673076923078</v>
      </c>
      <c r="F235" s="68">
        <f>ROUND(YEARFRAC(B235,F9),0)</f>
        <v>7</v>
      </c>
      <c r="G235" s="73">
        <v>12</v>
      </c>
      <c r="H235" s="74">
        <v>36</v>
      </c>
      <c r="I235" s="65"/>
      <c r="J235" s="66">
        <v>3</v>
      </c>
      <c r="K235" s="66">
        <v>1</v>
      </c>
      <c r="L235" s="66">
        <v>1</v>
      </c>
      <c r="M235" s="50" t="s">
        <v>51</v>
      </c>
      <c r="N235" s="50" t="str">
        <f>VLOOKUP(M235,F417:G420,2,FALSE)</f>
        <v>Northeast</v>
      </c>
    </row>
    <row r="236" spans="1:14" ht="15.75">
      <c r="A236" s="62">
        <v>1539</v>
      </c>
      <c r="B236" s="63">
        <v>41258</v>
      </c>
      <c r="C236" s="64" t="s">
        <v>13</v>
      </c>
      <c r="D236" s="97">
        <v>18102</v>
      </c>
      <c r="E236" s="80">
        <f t="shared" si="3"/>
        <v>8.7028846153846153</v>
      </c>
      <c r="F236" s="68">
        <f>ROUND(YEARFRAC(B236,F9),0)</f>
        <v>2</v>
      </c>
      <c r="G236" s="73">
        <v>14</v>
      </c>
      <c r="H236" s="74">
        <v>21</v>
      </c>
      <c r="I236" s="65"/>
      <c r="J236" s="66">
        <v>3</v>
      </c>
      <c r="K236" s="66">
        <v>1</v>
      </c>
      <c r="L236" s="66">
        <v>2</v>
      </c>
      <c r="M236" s="50" t="s">
        <v>52</v>
      </c>
      <c r="N236" s="50" t="str">
        <f>VLOOKUP(M236,F417:G420,2,FALSE)</f>
        <v>Midwest</v>
      </c>
    </row>
    <row r="237" spans="1:14" ht="15.75">
      <c r="A237" s="62">
        <v>1541</v>
      </c>
      <c r="B237" s="63">
        <v>39181</v>
      </c>
      <c r="C237" s="64" t="s">
        <v>18</v>
      </c>
      <c r="D237" s="97">
        <v>69128</v>
      </c>
      <c r="E237" s="80">
        <f t="shared" si="3"/>
        <v>33.234615384615381</v>
      </c>
      <c r="F237" s="68">
        <f>ROUND(YEARFRAC(B237,F9),0)</f>
        <v>8</v>
      </c>
      <c r="G237" s="73">
        <v>12</v>
      </c>
      <c r="H237" s="74">
        <v>36</v>
      </c>
      <c r="I237" s="65"/>
      <c r="J237" s="66">
        <v>3</v>
      </c>
      <c r="K237" s="66">
        <v>1</v>
      </c>
      <c r="L237" s="66">
        <v>1</v>
      </c>
      <c r="M237" s="50" t="s">
        <v>52</v>
      </c>
      <c r="N237" s="50" t="str">
        <f>VLOOKUP(M237,F417:G420,2,FALSE)</f>
        <v>Midwest</v>
      </c>
    </row>
    <row r="238" spans="1:14" ht="15.75">
      <c r="A238" s="62">
        <v>1543</v>
      </c>
      <c r="B238" s="63">
        <v>40092</v>
      </c>
      <c r="C238" s="64" t="s">
        <v>12</v>
      </c>
      <c r="D238" s="97">
        <v>35002</v>
      </c>
      <c r="E238" s="80">
        <f t="shared" si="3"/>
        <v>16.827884615384615</v>
      </c>
      <c r="F238" s="68">
        <f>ROUND(YEARFRAC(B238,F9),0)</f>
        <v>5</v>
      </c>
      <c r="G238" s="73">
        <v>12</v>
      </c>
      <c r="H238" s="74">
        <v>30</v>
      </c>
      <c r="I238" s="65"/>
      <c r="J238" s="66">
        <v>3</v>
      </c>
      <c r="K238" s="66">
        <v>1</v>
      </c>
      <c r="L238" s="66">
        <v>2</v>
      </c>
      <c r="M238" s="50" t="s">
        <v>52</v>
      </c>
      <c r="N238" s="50" t="str">
        <f>VLOOKUP(M238,F417:G420,2,FALSE)</f>
        <v>Midwest</v>
      </c>
    </row>
    <row r="239" spans="1:14" ht="15.75">
      <c r="A239" s="62">
        <v>1550</v>
      </c>
      <c r="B239" s="63">
        <v>41689</v>
      </c>
      <c r="C239" s="64" t="s">
        <v>34</v>
      </c>
      <c r="D239" s="97">
        <v>55067</v>
      </c>
      <c r="E239" s="80">
        <f t="shared" si="3"/>
        <v>26.474519230769232</v>
      </c>
      <c r="F239" s="68">
        <f>ROUND(YEARFRAC(B239,F9),0)</f>
        <v>1</v>
      </c>
      <c r="G239" s="73">
        <v>16</v>
      </c>
      <c r="H239" s="74">
        <v>28</v>
      </c>
      <c r="I239" s="65"/>
      <c r="J239" s="66">
        <v>1</v>
      </c>
      <c r="K239" s="66">
        <v>2</v>
      </c>
      <c r="L239" s="66">
        <v>2</v>
      </c>
      <c r="M239" s="50" t="s">
        <v>52</v>
      </c>
      <c r="N239" s="50" t="str">
        <f>VLOOKUP(M239,F417:G420,2,FALSE)</f>
        <v>Midwest</v>
      </c>
    </row>
    <row r="240" spans="1:14" ht="15.75">
      <c r="A240" s="62">
        <v>1550</v>
      </c>
      <c r="B240" s="63">
        <v>39766</v>
      </c>
      <c r="C240" s="64" t="s">
        <v>18</v>
      </c>
      <c r="D240" s="97">
        <v>68317</v>
      </c>
      <c r="E240" s="80">
        <f t="shared" si="3"/>
        <v>32.844711538461539</v>
      </c>
      <c r="F240" s="68">
        <f>ROUND(YEARFRAC(B240,F9),0)</f>
        <v>6</v>
      </c>
      <c r="G240" s="73">
        <v>12</v>
      </c>
      <c r="H240" s="74">
        <v>33</v>
      </c>
      <c r="I240" s="65"/>
      <c r="J240" s="66">
        <v>3</v>
      </c>
      <c r="K240" s="66">
        <v>1</v>
      </c>
      <c r="L240" s="66">
        <v>1</v>
      </c>
      <c r="M240" s="50" t="s">
        <v>52</v>
      </c>
      <c r="N240" s="50" t="str">
        <f>VLOOKUP(M240,F417:G420,2,FALSE)</f>
        <v>Midwest</v>
      </c>
    </row>
    <row r="241" spans="1:14" ht="15.75">
      <c r="A241" s="62">
        <v>1552</v>
      </c>
      <c r="B241" s="4">
        <v>36310</v>
      </c>
      <c r="C241" s="64" t="s">
        <v>12</v>
      </c>
      <c r="D241" s="97">
        <v>59316</v>
      </c>
      <c r="E241" s="80">
        <f t="shared" si="3"/>
        <v>28.517307692307693</v>
      </c>
      <c r="F241" s="68">
        <f>ROUND(YEARFRAC(B241,F9),0)</f>
        <v>16</v>
      </c>
      <c r="G241" s="73">
        <v>14</v>
      </c>
      <c r="H241" s="74">
        <v>53</v>
      </c>
      <c r="I241" s="65" t="str">
        <f>IF(F241&gt;=10,"Yes","No")</f>
        <v>Yes</v>
      </c>
      <c r="J241" s="66">
        <v>3</v>
      </c>
      <c r="K241" s="66">
        <v>1</v>
      </c>
      <c r="L241" s="66">
        <v>1</v>
      </c>
      <c r="M241" s="50" t="s">
        <v>51</v>
      </c>
      <c r="N241" s="50" t="str">
        <f>VLOOKUP(M241,F417:G420,2,FALSE)</f>
        <v>Northeast</v>
      </c>
    </row>
    <row r="242" spans="1:14" ht="15.75">
      <c r="A242" s="62">
        <v>1553</v>
      </c>
      <c r="B242" s="63">
        <v>39915</v>
      </c>
      <c r="C242" s="64" t="s">
        <v>12</v>
      </c>
      <c r="D242" s="97">
        <v>38398</v>
      </c>
      <c r="E242" s="80">
        <f t="shared" si="3"/>
        <v>18.460576923076925</v>
      </c>
      <c r="F242" s="68">
        <f>ROUND(YEARFRAC(B242,F9),0)</f>
        <v>6</v>
      </c>
      <c r="G242" s="73">
        <v>12</v>
      </c>
      <c r="H242" s="74">
        <v>33</v>
      </c>
      <c r="I242" s="65"/>
      <c r="J242" s="66">
        <v>1</v>
      </c>
      <c r="K242" s="66">
        <v>1</v>
      </c>
      <c r="L242" s="66">
        <v>1</v>
      </c>
      <c r="M242" s="50" t="s">
        <v>48</v>
      </c>
      <c r="N242" s="50" t="str">
        <f>VLOOKUP(M242,F417:G420,2,FALSE)</f>
        <v>C-Plains</v>
      </c>
    </row>
    <row r="243" spans="1:14" ht="15.75">
      <c r="A243" s="62">
        <v>1553</v>
      </c>
      <c r="B243" s="63">
        <v>39375</v>
      </c>
      <c r="C243" s="64" t="s">
        <v>12</v>
      </c>
      <c r="D243" s="97">
        <v>46097</v>
      </c>
      <c r="E243" s="80">
        <f t="shared" si="3"/>
        <v>22.162019230769232</v>
      </c>
      <c r="F243" s="68">
        <f>ROUND(YEARFRAC(B243,F9),0)</f>
        <v>7</v>
      </c>
      <c r="G243" s="73">
        <v>12</v>
      </c>
      <c r="H243" s="74">
        <v>38</v>
      </c>
      <c r="I243" s="65"/>
      <c r="J243" s="66">
        <v>3</v>
      </c>
      <c r="K243" s="66">
        <v>1</v>
      </c>
      <c r="L243" s="66">
        <v>1</v>
      </c>
      <c r="M243" s="50" t="s">
        <v>51</v>
      </c>
      <c r="N243" s="50" t="str">
        <f>VLOOKUP(M243,F417:G420,2,FALSE)</f>
        <v>Northeast</v>
      </c>
    </row>
    <row r="244" spans="1:14" ht="15.75">
      <c r="A244" s="62">
        <v>1554</v>
      </c>
      <c r="B244" s="63">
        <v>41570</v>
      </c>
      <c r="C244" s="64" t="s">
        <v>64</v>
      </c>
      <c r="D244" s="97">
        <v>62458</v>
      </c>
      <c r="E244" s="80">
        <f t="shared" si="3"/>
        <v>30.027884615384615</v>
      </c>
      <c r="F244" s="68">
        <f>ROUND(YEARFRAC(B244,F9),0)</f>
        <v>1</v>
      </c>
      <c r="G244" s="73">
        <v>16</v>
      </c>
      <c r="H244" s="74">
        <v>26</v>
      </c>
      <c r="I244" s="65"/>
      <c r="J244" s="66">
        <v>2</v>
      </c>
      <c r="K244" s="66">
        <v>2</v>
      </c>
      <c r="L244" s="66">
        <v>2</v>
      </c>
      <c r="M244" s="50" t="s">
        <v>52</v>
      </c>
      <c r="N244" s="50" t="str">
        <f>VLOOKUP(M244,F417:G420,2,FALSE)</f>
        <v>Midwest</v>
      </c>
    </row>
    <row r="245" spans="1:14" ht="15.75">
      <c r="A245" s="62">
        <v>1554</v>
      </c>
      <c r="B245" s="63">
        <v>39010</v>
      </c>
      <c r="C245" s="64" t="s">
        <v>12</v>
      </c>
      <c r="D245" s="97">
        <v>50082</v>
      </c>
      <c r="E245" s="80">
        <f t="shared" si="3"/>
        <v>24.077884615384615</v>
      </c>
      <c r="F245" s="68">
        <f>ROUND(YEARFRAC(B245,F9),0)</f>
        <v>8</v>
      </c>
      <c r="G245" s="73">
        <v>12</v>
      </c>
      <c r="H245" s="74">
        <v>40</v>
      </c>
      <c r="I245" s="65"/>
      <c r="J245" s="66">
        <v>3</v>
      </c>
      <c r="K245" s="66">
        <v>1</v>
      </c>
      <c r="L245" s="66">
        <v>1</v>
      </c>
      <c r="M245" s="50" t="s">
        <v>48</v>
      </c>
      <c r="N245" s="50" t="str">
        <f>VLOOKUP(M245,F417:G420,2,FALSE)</f>
        <v>C-Plains</v>
      </c>
    </row>
    <row r="246" spans="1:14" ht="15.75">
      <c r="A246" s="62">
        <v>1556</v>
      </c>
      <c r="B246" s="63">
        <v>39893</v>
      </c>
      <c r="C246" s="64" t="s">
        <v>13</v>
      </c>
      <c r="D246" s="97">
        <v>26466</v>
      </c>
      <c r="E246" s="80">
        <f t="shared" si="3"/>
        <v>12.724038461538461</v>
      </c>
      <c r="F246" s="68">
        <f>ROUND(YEARFRAC(B246,F9),0)</f>
        <v>6</v>
      </c>
      <c r="G246" s="73">
        <v>12</v>
      </c>
      <c r="H246" s="74">
        <v>27</v>
      </c>
      <c r="I246" s="65"/>
      <c r="J246" s="66">
        <v>4</v>
      </c>
      <c r="K246" s="66">
        <v>1</v>
      </c>
      <c r="L246" s="66">
        <v>2</v>
      </c>
      <c r="M246" s="50" t="s">
        <v>51</v>
      </c>
      <c r="N246" s="50" t="str">
        <f>VLOOKUP(M246,F417:G420,2,FALSE)</f>
        <v>Northeast</v>
      </c>
    </row>
    <row r="247" spans="1:14" ht="15.75">
      <c r="A247" s="62">
        <v>1557</v>
      </c>
      <c r="B247" s="63">
        <v>38189</v>
      </c>
      <c r="C247" s="64" t="s">
        <v>12</v>
      </c>
      <c r="D247" s="97">
        <v>53537</v>
      </c>
      <c r="E247" s="80">
        <f t="shared" si="3"/>
        <v>25.738942307692309</v>
      </c>
      <c r="F247" s="68">
        <f>ROUND(YEARFRAC(B247,F9),0)</f>
        <v>10</v>
      </c>
      <c r="G247" s="73">
        <v>12</v>
      </c>
      <c r="H247" s="74">
        <v>46</v>
      </c>
      <c r="I247" s="65" t="str">
        <f>IF(F247&gt;=10,"Yes","No")</f>
        <v>Yes</v>
      </c>
      <c r="J247" s="66">
        <v>3</v>
      </c>
      <c r="K247" s="66">
        <v>1</v>
      </c>
      <c r="L247" s="66">
        <v>2</v>
      </c>
      <c r="M247" s="50" t="s">
        <v>48</v>
      </c>
      <c r="N247" s="50" t="str">
        <f>VLOOKUP(M247,F417:G420,2,FALSE)</f>
        <v>C-Plains</v>
      </c>
    </row>
    <row r="248" spans="1:14" ht="15.75">
      <c r="A248" s="62">
        <v>1558</v>
      </c>
      <c r="B248" s="63">
        <v>38358</v>
      </c>
      <c r="C248" s="64" t="s">
        <v>12</v>
      </c>
      <c r="D248" s="97">
        <v>52946</v>
      </c>
      <c r="E248" s="80">
        <f t="shared" si="3"/>
        <v>25.454807692307693</v>
      </c>
      <c r="F248" s="68">
        <f>ROUND(YEARFRAC(B248,F9),0)</f>
        <v>10</v>
      </c>
      <c r="G248" s="73">
        <v>12</v>
      </c>
      <c r="H248" s="74">
        <v>45</v>
      </c>
      <c r="I248" s="65"/>
      <c r="J248" s="66">
        <v>2</v>
      </c>
      <c r="K248" s="66">
        <v>1</v>
      </c>
      <c r="L248" s="66">
        <v>1</v>
      </c>
      <c r="M248" s="50" t="s">
        <v>51</v>
      </c>
      <c r="N248" s="50" t="str">
        <f>VLOOKUP(M248,F417:G420,2,FALSE)</f>
        <v>Northeast</v>
      </c>
    </row>
    <row r="249" spans="1:14" ht="15.75">
      <c r="A249" s="62">
        <v>1560</v>
      </c>
      <c r="B249" s="63">
        <v>41035</v>
      </c>
      <c r="C249" s="64" t="s">
        <v>13</v>
      </c>
      <c r="D249" s="97">
        <v>18270</v>
      </c>
      <c r="E249" s="80">
        <f t="shared" si="3"/>
        <v>8.7836538461538467</v>
      </c>
      <c r="F249" s="68">
        <f>ROUND(YEARFRAC(B249,F9),0)</f>
        <v>3</v>
      </c>
      <c r="G249" s="73">
        <v>14</v>
      </c>
      <c r="H249" s="74">
        <v>21</v>
      </c>
      <c r="I249" s="65"/>
      <c r="J249" s="66">
        <v>3</v>
      </c>
      <c r="K249" s="66">
        <v>1</v>
      </c>
      <c r="L249" s="66">
        <v>2</v>
      </c>
      <c r="M249" s="50" t="s">
        <v>51</v>
      </c>
      <c r="N249" s="50" t="str">
        <f>VLOOKUP(M249,F418:G421,2,FALSE)</f>
        <v>Northeast</v>
      </c>
    </row>
    <row r="250" spans="1:14" ht="15.75">
      <c r="A250" s="62">
        <v>1565</v>
      </c>
      <c r="B250" s="63">
        <v>39157</v>
      </c>
      <c r="C250" s="64" t="s">
        <v>12</v>
      </c>
      <c r="D250" s="97">
        <v>48712</v>
      </c>
      <c r="E250" s="80">
        <f t="shared" si="3"/>
        <v>23.419230769230769</v>
      </c>
      <c r="F250" s="68">
        <f>ROUND(YEARFRAC(B250,F9),0)</f>
        <v>8</v>
      </c>
      <c r="G250" s="73">
        <v>12</v>
      </c>
      <c r="H250" s="74">
        <v>38</v>
      </c>
      <c r="I250" s="65"/>
      <c r="J250" s="66">
        <v>3</v>
      </c>
      <c r="K250" s="66">
        <v>1</v>
      </c>
      <c r="L250" s="66">
        <v>1</v>
      </c>
      <c r="M250" s="50" t="s">
        <v>52</v>
      </c>
      <c r="N250" s="50" t="str">
        <f>VLOOKUP(M250,F419:G422,2,FALSE)</f>
        <v>Midwest</v>
      </c>
    </row>
    <row r="251" spans="1:14" ht="15.75">
      <c r="A251" s="62">
        <v>1568</v>
      </c>
      <c r="B251" s="63">
        <v>41128</v>
      </c>
      <c r="C251" s="64" t="s">
        <v>20</v>
      </c>
      <c r="D251" s="97">
        <v>32960</v>
      </c>
      <c r="E251" s="80">
        <f t="shared" si="3"/>
        <v>15.846153846153847</v>
      </c>
      <c r="F251" s="68">
        <f>ROUND(YEARFRAC(B251,F9),0)</f>
        <v>2</v>
      </c>
      <c r="G251" s="73">
        <v>12</v>
      </c>
      <c r="H251" s="74">
        <v>20</v>
      </c>
      <c r="I251" s="65"/>
      <c r="J251" s="66">
        <v>3</v>
      </c>
      <c r="K251" s="66">
        <v>2</v>
      </c>
      <c r="L251" s="66">
        <v>2</v>
      </c>
      <c r="M251" s="50" t="s">
        <v>52</v>
      </c>
      <c r="N251" s="50" t="str">
        <f>VLOOKUP(M251,F417:G420,2,FALSE)</f>
        <v>Midwest</v>
      </c>
    </row>
    <row r="252" spans="1:14" ht="15.75">
      <c r="A252" s="62">
        <v>1568</v>
      </c>
      <c r="B252" s="63">
        <v>40216</v>
      </c>
      <c r="C252" s="64" t="s">
        <v>18</v>
      </c>
      <c r="D252" s="97">
        <v>67771</v>
      </c>
      <c r="E252" s="80">
        <f t="shared" si="3"/>
        <v>32.582211538461536</v>
      </c>
      <c r="F252" s="68">
        <f>ROUND(YEARFRAC(B252,F9),0)</f>
        <v>5</v>
      </c>
      <c r="G252" s="73">
        <v>12</v>
      </c>
      <c r="H252" s="74">
        <v>32</v>
      </c>
      <c r="I252" s="65"/>
      <c r="J252" s="66">
        <v>1</v>
      </c>
      <c r="K252" s="66">
        <v>1</v>
      </c>
      <c r="L252" s="66">
        <v>2</v>
      </c>
      <c r="M252" s="50" t="s">
        <v>48</v>
      </c>
      <c r="N252" s="50" t="str">
        <f>VLOOKUP(M252,F418:G421,2,FALSE)</f>
        <v>C-Plains</v>
      </c>
    </row>
    <row r="253" spans="1:14" ht="15.75">
      <c r="A253" s="62">
        <v>1569</v>
      </c>
      <c r="B253" s="63">
        <v>40291</v>
      </c>
      <c r="C253" s="64" t="s">
        <v>30</v>
      </c>
      <c r="D253" s="97">
        <v>55254</v>
      </c>
      <c r="E253" s="80">
        <f t="shared" si="3"/>
        <v>26.564423076923077</v>
      </c>
      <c r="F253" s="68">
        <f>ROUND(YEARFRAC(B253,F9),0)</f>
        <v>5</v>
      </c>
      <c r="G253" s="73">
        <v>16</v>
      </c>
      <c r="H253" s="74">
        <v>42</v>
      </c>
      <c r="I253" s="65"/>
      <c r="J253" s="66">
        <v>3</v>
      </c>
      <c r="K253" s="66">
        <v>2</v>
      </c>
      <c r="L253" s="66">
        <v>2</v>
      </c>
      <c r="M253" s="50" t="s">
        <v>52</v>
      </c>
      <c r="N253" s="50" t="str">
        <f>VLOOKUP(M253,F419:G422,2,FALSE)</f>
        <v>Midwest</v>
      </c>
    </row>
    <row r="254" spans="1:14" ht="15.75">
      <c r="A254" s="62">
        <v>1571</v>
      </c>
      <c r="B254" s="63">
        <v>39919</v>
      </c>
      <c r="C254" s="64" t="s">
        <v>12</v>
      </c>
      <c r="D254" s="97">
        <v>37917</v>
      </c>
      <c r="E254" s="80">
        <f t="shared" si="3"/>
        <v>18.229326923076922</v>
      </c>
      <c r="F254" s="68">
        <f>ROUND(YEARFRAC(B254,F9),0)</f>
        <v>6</v>
      </c>
      <c r="G254" s="73">
        <v>12</v>
      </c>
      <c r="H254" s="74">
        <v>33</v>
      </c>
      <c r="I254" s="65"/>
      <c r="J254" s="66">
        <v>4</v>
      </c>
      <c r="K254" s="66">
        <v>1</v>
      </c>
      <c r="L254" s="66">
        <v>2</v>
      </c>
      <c r="M254" s="50" t="s">
        <v>51</v>
      </c>
      <c r="N254" s="50" t="str">
        <f>VLOOKUP(M254,F417:G420,2,FALSE)</f>
        <v>Northeast</v>
      </c>
    </row>
    <row r="255" spans="1:14" ht="15.75">
      <c r="A255" s="62">
        <v>1575</v>
      </c>
      <c r="B255" s="63">
        <v>39848</v>
      </c>
      <c r="C255" s="64" t="s">
        <v>12</v>
      </c>
      <c r="D255" s="97">
        <v>40629</v>
      </c>
      <c r="E255" s="80">
        <f t="shared" si="3"/>
        <v>19.533173076923077</v>
      </c>
      <c r="F255" s="68">
        <f>ROUND(YEARFRAC(B255,F9),0)</f>
        <v>6</v>
      </c>
      <c r="G255" s="73">
        <v>12</v>
      </c>
      <c r="H255" s="74">
        <v>34</v>
      </c>
      <c r="I255" s="65"/>
      <c r="J255" s="66">
        <v>3</v>
      </c>
      <c r="K255" s="66">
        <v>1</v>
      </c>
      <c r="L255" s="66">
        <v>1</v>
      </c>
      <c r="M255" s="50" t="s">
        <v>52</v>
      </c>
      <c r="N255" s="50" t="str">
        <f>VLOOKUP(M255,F418:G421,2,FALSE)</f>
        <v>Midwest</v>
      </c>
    </row>
    <row r="256" spans="1:14" ht="15.75">
      <c r="A256" s="62">
        <v>1579</v>
      </c>
      <c r="B256" s="63">
        <v>38364</v>
      </c>
      <c r="C256" s="64" t="s">
        <v>12</v>
      </c>
      <c r="D256" s="97">
        <v>52580</v>
      </c>
      <c r="E256" s="80">
        <f t="shared" si="3"/>
        <v>25.278846153846153</v>
      </c>
      <c r="F256" s="68">
        <f>ROUND(YEARFRAC(B256,F9),0)</f>
        <v>10</v>
      </c>
      <c r="G256" s="73">
        <v>12</v>
      </c>
      <c r="H256" s="74">
        <v>45</v>
      </c>
      <c r="I256" s="65"/>
      <c r="J256" s="66">
        <v>1</v>
      </c>
      <c r="K256" s="66">
        <v>1</v>
      </c>
      <c r="L256" s="66">
        <v>1</v>
      </c>
      <c r="M256" s="50" t="s">
        <v>52</v>
      </c>
      <c r="N256" s="50" t="str">
        <f>VLOOKUP(M256,F419:G422,2,FALSE)</f>
        <v>Midwest</v>
      </c>
    </row>
    <row r="257" spans="1:14" ht="15.75">
      <c r="A257" s="62">
        <v>1580</v>
      </c>
      <c r="B257" s="63">
        <v>40437</v>
      </c>
      <c r="C257" s="64" t="s">
        <v>13</v>
      </c>
      <c r="D257" s="97">
        <v>23342</v>
      </c>
      <c r="E257" s="80">
        <f t="shared" si="3"/>
        <v>11.222115384615385</v>
      </c>
      <c r="F257" s="68">
        <f>ROUND(YEARFRAC(B257,F9),0)</f>
        <v>4</v>
      </c>
      <c r="G257" s="73">
        <v>12</v>
      </c>
      <c r="H257" s="74">
        <v>22</v>
      </c>
      <c r="I257" s="65"/>
      <c r="J257" s="66">
        <v>3</v>
      </c>
      <c r="K257" s="66">
        <v>1</v>
      </c>
      <c r="L257" s="66">
        <v>2</v>
      </c>
      <c r="M257" s="50" t="s">
        <v>51</v>
      </c>
      <c r="N257" s="50" t="str">
        <f>VLOOKUP(M257,F417:G420,2,FALSE)</f>
        <v>Northeast</v>
      </c>
    </row>
    <row r="258" spans="1:14" ht="15.75">
      <c r="A258" s="62">
        <v>1584</v>
      </c>
      <c r="B258" s="63">
        <v>36234</v>
      </c>
      <c r="C258" s="64" t="s">
        <v>12</v>
      </c>
      <c r="D258" s="97">
        <v>60239</v>
      </c>
      <c r="E258" s="80">
        <f t="shared" si="3"/>
        <v>28.961057692307691</v>
      </c>
      <c r="F258" s="68">
        <f>ROUND(YEARFRAC(B258,F9),0)</f>
        <v>16</v>
      </c>
      <c r="G258" s="73">
        <v>16</v>
      </c>
      <c r="H258" s="74">
        <v>54</v>
      </c>
      <c r="I258" s="65" t="str">
        <f>IF(F258&gt;=10,"Yes","No")</f>
        <v>Yes</v>
      </c>
      <c r="J258" s="66">
        <v>1</v>
      </c>
      <c r="K258" s="66">
        <v>1</v>
      </c>
      <c r="L258" s="66">
        <v>2</v>
      </c>
      <c r="M258" s="50" t="s">
        <v>51</v>
      </c>
      <c r="N258" s="50" t="str">
        <f>VLOOKUP(M258,F418:G421,2,FALSE)</f>
        <v>Northeast</v>
      </c>
    </row>
    <row r="259" spans="1:14" ht="15.75">
      <c r="A259" s="62">
        <v>1588</v>
      </c>
      <c r="B259" s="4">
        <v>37485</v>
      </c>
      <c r="C259" s="64" t="s">
        <v>12</v>
      </c>
      <c r="D259" s="97">
        <v>55566</v>
      </c>
      <c r="E259" s="80">
        <f t="shared" si="3"/>
        <v>26.714423076923076</v>
      </c>
      <c r="F259" s="68">
        <f>ROUND(YEARFRAC(B259,F9),0)</f>
        <v>12</v>
      </c>
      <c r="G259" s="73">
        <v>12</v>
      </c>
      <c r="H259" s="74">
        <v>48</v>
      </c>
      <c r="I259" s="65" t="str">
        <f>IF(F259&gt;=10,"Yes","No")</f>
        <v>Yes</v>
      </c>
      <c r="J259" s="66">
        <v>2</v>
      </c>
      <c r="K259" s="66">
        <v>1</v>
      </c>
      <c r="L259" s="66">
        <v>1</v>
      </c>
      <c r="M259" s="50" t="s">
        <v>51</v>
      </c>
      <c r="N259" s="50" t="str">
        <f>VLOOKUP(M259,F417:G420,2,FALSE)</f>
        <v>Northeast</v>
      </c>
    </row>
    <row r="260" spans="1:14" ht="15.75">
      <c r="A260" s="62">
        <v>1589</v>
      </c>
      <c r="B260" s="63">
        <v>41379</v>
      </c>
      <c r="C260" s="64" t="s">
        <v>15</v>
      </c>
      <c r="D260" s="97">
        <v>51233</v>
      </c>
      <c r="E260" s="80">
        <f t="shared" si="3"/>
        <v>24.631250000000001</v>
      </c>
      <c r="F260" s="68">
        <f>ROUND(YEARFRAC(B260,F9),0)</f>
        <v>2</v>
      </c>
      <c r="G260" s="73">
        <v>16</v>
      </c>
      <c r="H260" s="74">
        <v>25</v>
      </c>
      <c r="I260" s="65"/>
      <c r="J260" s="66">
        <v>3</v>
      </c>
      <c r="K260" s="66">
        <v>2</v>
      </c>
      <c r="L260" s="66">
        <v>2</v>
      </c>
      <c r="M260" s="50" t="s">
        <v>52</v>
      </c>
      <c r="N260" s="50" t="str">
        <f>VLOOKUP(M260,F418:G421,2,FALSE)</f>
        <v>Midwest</v>
      </c>
    </row>
    <row r="261" spans="1:14" ht="15.75">
      <c r="A261" s="62">
        <v>1591</v>
      </c>
      <c r="B261" s="4">
        <v>39641</v>
      </c>
      <c r="C261" s="64" t="s">
        <v>12</v>
      </c>
      <c r="D261" s="97">
        <v>43213</v>
      </c>
      <c r="E261" s="80">
        <f t="shared" si="3"/>
        <v>20.775480769230768</v>
      </c>
      <c r="F261" s="68">
        <f>ROUND(YEARFRAC(B261,F9),0)</f>
        <v>6</v>
      </c>
      <c r="G261" s="73">
        <v>12</v>
      </c>
      <c r="H261" s="74">
        <v>35</v>
      </c>
      <c r="I261" s="65"/>
      <c r="J261" s="66">
        <v>3</v>
      </c>
      <c r="K261" s="66">
        <v>1</v>
      </c>
      <c r="L261" s="66">
        <v>1</v>
      </c>
      <c r="M261" s="50" t="s">
        <v>52</v>
      </c>
      <c r="N261" s="50" t="str">
        <f>VLOOKUP(M261,F419:G422,2,FALSE)</f>
        <v>Midwest</v>
      </c>
    </row>
    <row r="262" spans="1:14" ht="15.75">
      <c r="A262" s="62">
        <v>1593</v>
      </c>
      <c r="B262" s="63">
        <v>39675</v>
      </c>
      <c r="C262" s="64" t="s">
        <v>20</v>
      </c>
      <c r="D262" s="97">
        <v>47891</v>
      </c>
      <c r="E262" s="80">
        <f t="shared" si="3"/>
        <v>23.024519230769229</v>
      </c>
      <c r="F262" s="68">
        <f>ROUND(YEARFRAC(B262,F9),0)</f>
        <v>6</v>
      </c>
      <c r="G262" s="73">
        <v>12</v>
      </c>
      <c r="H262" s="74">
        <v>38</v>
      </c>
      <c r="I262" s="65"/>
      <c r="J262" s="66">
        <v>1</v>
      </c>
      <c r="K262" s="66">
        <v>2</v>
      </c>
      <c r="L262" s="66">
        <v>1</v>
      </c>
      <c r="M262" s="50" t="s">
        <v>48</v>
      </c>
      <c r="N262" s="50" t="str">
        <f>VLOOKUP(M262,F420:G423,2,FALSE)</f>
        <v>C-Plains</v>
      </c>
    </row>
    <row r="263" spans="1:14" ht="15.75">
      <c r="A263" s="62">
        <v>1596</v>
      </c>
      <c r="B263" s="63">
        <v>39976</v>
      </c>
      <c r="C263" s="64" t="s">
        <v>22</v>
      </c>
      <c r="D263" s="97">
        <v>131276</v>
      </c>
      <c r="E263" s="80">
        <f t="shared" si="3"/>
        <v>63.113461538461536</v>
      </c>
      <c r="F263" s="68">
        <f>ROUND(YEARFRAC(B263,F9),0)</f>
        <v>6</v>
      </c>
      <c r="G263" s="73">
        <v>19</v>
      </c>
      <c r="H263" s="74">
        <v>42</v>
      </c>
      <c r="I263" s="65"/>
      <c r="J263" s="66">
        <v>3</v>
      </c>
      <c r="K263" s="66">
        <v>1</v>
      </c>
      <c r="L263" s="66">
        <v>2</v>
      </c>
      <c r="M263" s="50" t="s">
        <v>51</v>
      </c>
      <c r="N263" s="50" t="str">
        <f>VLOOKUP(M263,F417:G420,2,FALSE)</f>
        <v>Northeast</v>
      </c>
    </row>
    <row r="264" spans="1:14" ht="15.75">
      <c r="A264" s="62">
        <v>1597</v>
      </c>
      <c r="B264" s="63">
        <v>40867</v>
      </c>
      <c r="C264" s="64" t="s">
        <v>19</v>
      </c>
      <c r="D264" s="97">
        <v>70293</v>
      </c>
      <c r="E264" s="80">
        <f t="shared" si="3"/>
        <v>33.794711538461542</v>
      </c>
      <c r="F264" s="68">
        <f>ROUND(YEARFRAC(B264,F9),0)</f>
        <v>3</v>
      </c>
      <c r="G264" s="73">
        <v>16</v>
      </c>
      <c r="H264" s="74">
        <v>34</v>
      </c>
      <c r="I264" s="65"/>
      <c r="J264" s="66">
        <v>3</v>
      </c>
      <c r="K264" s="66">
        <v>1</v>
      </c>
      <c r="L264" s="66">
        <v>1</v>
      </c>
      <c r="M264" s="50" t="s">
        <v>52</v>
      </c>
      <c r="N264" s="50" t="str">
        <f>VLOOKUP(M264,F418:G421,2,FALSE)</f>
        <v>Midwest</v>
      </c>
    </row>
    <row r="265" spans="1:14" ht="15.75">
      <c r="A265" s="62">
        <v>1598</v>
      </c>
      <c r="B265" s="63">
        <v>41320</v>
      </c>
      <c r="C265" s="64" t="s">
        <v>12</v>
      </c>
      <c r="D265" s="97">
        <v>29661</v>
      </c>
      <c r="E265" s="80">
        <f t="shared" si="3"/>
        <v>14.260096153846154</v>
      </c>
      <c r="F265" s="68">
        <f>ROUND(YEARFRAC(B265,F9),0)</f>
        <v>2</v>
      </c>
      <c r="G265" s="73">
        <v>12</v>
      </c>
      <c r="H265" s="74">
        <v>19</v>
      </c>
      <c r="I265" s="65"/>
      <c r="J265" s="66">
        <v>3</v>
      </c>
      <c r="K265" s="66">
        <v>1</v>
      </c>
      <c r="L265" s="66">
        <v>2</v>
      </c>
      <c r="M265" s="50" t="s">
        <v>51</v>
      </c>
      <c r="N265" s="50" t="str">
        <f>VLOOKUP(M265,F417:G420,2,FALSE)</f>
        <v>Northeast</v>
      </c>
    </row>
    <row r="266" spans="1:14" ht="15.75">
      <c r="A266" s="62">
        <v>1608</v>
      </c>
      <c r="B266" s="63">
        <v>36234</v>
      </c>
      <c r="C266" s="64" t="s">
        <v>19</v>
      </c>
      <c r="D266" s="97">
        <v>75375</v>
      </c>
      <c r="E266" s="80">
        <f t="shared" si="3"/>
        <v>36.237980769230766</v>
      </c>
      <c r="F266" s="68">
        <f>ROUND(YEARFRAC(B266,F9),0)</f>
        <v>16</v>
      </c>
      <c r="G266" s="73">
        <v>16</v>
      </c>
      <c r="H266" s="74">
        <v>44</v>
      </c>
      <c r="I266" s="65" t="str">
        <f>IF(F266&gt;=10,"Yes","No")</f>
        <v>Yes</v>
      </c>
      <c r="J266" s="66">
        <v>3</v>
      </c>
      <c r="K266" s="66">
        <v>2</v>
      </c>
      <c r="L266" s="66">
        <v>1</v>
      </c>
      <c r="M266" s="50" t="s">
        <v>52</v>
      </c>
      <c r="N266" s="50" t="str">
        <f>VLOOKUP(M266,F418:G421,2,FALSE)</f>
        <v>Midwest</v>
      </c>
    </row>
    <row r="267" spans="1:14" ht="15.75">
      <c r="A267" s="62">
        <v>1608</v>
      </c>
      <c r="B267" s="63">
        <v>39918</v>
      </c>
      <c r="C267" s="64" t="s">
        <v>16</v>
      </c>
      <c r="D267" s="97">
        <v>73258</v>
      </c>
      <c r="E267" s="80">
        <f t="shared" si="3"/>
        <v>35.220192307692308</v>
      </c>
      <c r="F267" s="68">
        <f>ROUND(YEARFRAC(B267,F9),0)</f>
        <v>6</v>
      </c>
      <c r="G267" s="73">
        <v>19</v>
      </c>
      <c r="H267" s="74">
        <v>53</v>
      </c>
      <c r="I267" s="65"/>
      <c r="J267" s="66">
        <v>3</v>
      </c>
      <c r="K267" s="66">
        <v>1</v>
      </c>
      <c r="L267" s="66">
        <v>1</v>
      </c>
      <c r="M267" s="50" t="s">
        <v>51</v>
      </c>
      <c r="N267" s="50" t="str">
        <f>VLOOKUP(M267,F417:G420,2,FALSE)</f>
        <v>Northeast</v>
      </c>
    </row>
    <row r="268" spans="1:14" ht="15.75">
      <c r="A268" s="62">
        <v>1609</v>
      </c>
      <c r="B268" s="63">
        <v>40744</v>
      </c>
      <c r="C268" s="64" t="s">
        <v>12</v>
      </c>
      <c r="D268" s="97">
        <v>33266</v>
      </c>
      <c r="E268" s="80">
        <f t="shared" ref="E268:E331" si="4">D268/Annual_Hrs</f>
        <v>15.993269230769231</v>
      </c>
      <c r="F268" s="68">
        <f>ROUND(YEARFRAC(B268,F9),0)</f>
        <v>3</v>
      </c>
      <c r="G268" s="73">
        <v>12</v>
      </c>
      <c r="H268" s="74">
        <v>26</v>
      </c>
      <c r="I268" s="65"/>
      <c r="J268" s="66">
        <v>3</v>
      </c>
      <c r="K268" s="66">
        <v>1</v>
      </c>
      <c r="L268" s="66">
        <v>2</v>
      </c>
      <c r="M268" s="50" t="s">
        <v>48</v>
      </c>
      <c r="N268" s="50" t="str">
        <f>VLOOKUP(M268,F420:G423,2,FALSE)</f>
        <v>C-Plains</v>
      </c>
    </row>
    <row r="269" spans="1:14" ht="15.75">
      <c r="A269" s="62">
        <v>1611</v>
      </c>
      <c r="B269" s="63">
        <v>39348</v>
      </c>
      <c r="C269" s="64" t="s">
        <v>12</v>
      </c>
      <c r="D269" s="97">
        <v>46378</v>
      </c>
      <c r="E269" s="80">
        <f t="shared" si="4"/>
        <v>22.297115384615385</v>
      </c>
      <c r="F269" s="68">
        <f>ROUND(YEARFRAC(B269,F9),0)</f>
        <v>7</v>
      </c>
      <c r="G269" s="73">
        <v>12</v>
      </c>
      <c r="H269" s="74">
        <v>38</v>
      </c>
      <c r="I269" s="65"/>
      <c r="J269" s="66">
        <v>3</v>
      </c>
      <c r="K269" s="66">
        <v>1</v>
      </c>
      <c r="L269" s="66">
        <v>1</v>
      </c>
      <c r="M269" s="50" t="s">
        <v>51</v>
      </c>
      <c r="N269" s="50" t="str">
        <f>VLOOKUP(M269,F417:G420,2,FALSE)</f>
        <v>Northeast</v>
      </c>
    </row>
    <row r="270" spans="1:14" ht="15.75">
      <c r="A270" s="62">
        <v>1612</v>
      </c>
      <c r="B270" s="63">
        <v>40608</v>
      </c>
      <c r="C270" s="64" t="s">
        <v>20</v>
      </c>
      <c r="D270" s="97">
        <v>37800</v>
      </c>
      <c r="E270" s="80">
        <f t="shared" si="4"/>
        <v>18.173076923076923</v>
      </c>
      <c r="F270" s="68">
        <f>ROUND(YEARFRAC(B270,F9),0)</f>
        <v>4</v>
      </c>
      <c r="G270" s="73">
        <v>12</v>
      </c>
      <c r="H270" s="74">
        <v>25</v>
      </c>
      <c r="I270" s="65"/>
      <c r="J270" s="66">
        <v>2</v>
      </c>
      <c r="K270" s="66">
        <v>1</v>
      </c>
      <c r="L270" s="66">
        <v>1</v>
      </c>
      <c r="M270" s="50" t="s">
        <v>48</v>
      </c>
      <c r="N270" s="50" t="str">
        <f>VLOOKUP(M270,F418:G421,2,FALSE)</f>
        <v>C-Plains</v>
      </c>
    </row>
    <row r="271" spans="1:14" ht="15.75">
      <c r="A271" s="62">
        <v>1613</v>
      </c>
      <c r="B271" s="63">
        <v>41033</v>
      </c>
      <c r="C271" s="64" t="s">
        <v>12</v>
      </c>
      <c r="D271" s="97">
        <v>32496</v>
      </c>
      <c r="E271" s="80">
        <f t="shared" si="4"/>
        <v>15.623076923076923</v>
      </c>
      <c r="F271" s="68">
        <f>ROUND(YEARFRAC(B271,F9),0)</f>
        <v>3</v>
      </c>
      <c r="G271" s="73">
        <v>12</v>
      </c>
      <c r="H271" s="74">
        <v>24</v>
      </c>
      <c r="I271" s="65"/>
      <c r="J271" s="66">
        <v>1</v>
      </c>
      <c r="K271" s="66">
        <v>1</v>
      </c>
      <c r="L271" s="66">
        <v>1</v>
      </c>
      <c r="M271" s="50" t="s">
        <v>51</v>
      </c>
      <c r="N271" s="50" t="str">
        <f>VLOOKUP(M271,F417:G420,2,FALSE)</f>
        <v>Northeast</v>
      </c>
    </row>
    <row r="272" spans="1:14" ht="15.75">
      <c r="A272" s="62">
        <v>1616</v>
      </c>
      <c r="B272" s="63">
        <v>40071</v>
      </c>
      <c r="C272" s="64" t="s">
        <v>31</v>
      </c>
      <c r="D272" s="97">
        <v>65027</v>
      </c>
      <c r="E272" s="80">
        <f t="shared" si="4"/>
        <v>31.262980769230769</v>
      </c>
      <c r="F272" s="68">
        <f>ROUND(YEARFRAC(B272,F9),0)</f>
        <v>5</v>
      </c>
      <c r="G272" s="73">
        <v>16</v>
      </c>
      <c r="H272" s="74">
        <v>34</v>
      </c>
      <c r="I272" s="65"/>
      <c r="J272" s="66">
        <v>3</v>
      </c>
      <c r="K272" s="66">
        <v>2</v>
      </c>
      <c r="L272" s="66">
        <v>2</v>
      </c>
      <c r="M272" s="50" t="s">
        <v>51</v>
      </c>
      <c r="N272" s="50" t="str">
        <f>VLOOKUP(M272,F417:G420,2,FALSE)</f>
        <v>Northeast</v>
      </c>
    </row>
    <row r="273" spans="1:14" ht="15.75">
      <c r="A273" s="62">
        <v>1616</v>
      </c>
      <c r="B273" s="63">
        <v>38938</v>
      </c>
      <c r="C273" s="64" t="s">
        <v>64</v>
      </c>
      <c r="D273" s="97">
        <v>86818</v>
      </c>
      <c r="E273" s="80">
        <f t="shared" si="4"/>
        <v>41.739423076923075</v>
      </c>
      <c r="F273" s="68">
        <f>ROUND(YEARFRAC(B273,F9),0)</f>
        <v>8</v>
      </c>
      <c r="G273" s="73">
        <v>19</v>
      </c>
      <c r="H273" s="74">
        <v>48</v>
      </c>
      <c r="I273" s="65"/>
      <c r="J273" s="66">
        <v>3</v>
      </c>
      <c r="K273" s="66">
        <v>1</v>
      </c>
      <c r="L273" s="66">
        <v>1</v>
      </c>
      <c r="M273" s="50" t="s">
        <v>48</v>
      </c>
      <c r="N273" s="50" t="str">
        <f>VLOOKUP(M273,F418:G421,2,FALSE)</f>
        <v>C-Plains</v>
      </c>
    </row>
    <row r="274" spans="1:14" ht="15.75">
      <c r="A274" s="62">
        <v>1619</v>
      </c>
      <c r="B274" s="4">
        <v>39389</v>
      </c>
      <c r="C274" s="64" t="s">
        <v>12</v>
      </c>
      <c r="D274" s="97">
        <v>45641</v>
      </c>
      <c r="E274" s="80">
        <f t="shared" si="4"/>
        <v>21.942788461538463</v>
      </c>
      <c r="F274" s="68">
        <f>ROUND(YEARFRAC(B274,F9),0)</f>
        <v>7</v>
      </c>
      <c r="G274" s="73">
        <v>12</v>
      </c>
      <c r="H274" s="74">
        <v>36</v>
      </c>
      <c r="I274" s="65"/>
      <c r="J274" s="66">
        <v>3</v>
      </c>
      <c r="K274" s="66">
        <v>1</v>
      </c>
      <c r="L274" s="66">
        <v>1</v>
      </c>
      <c r="M274" s="50" t="s">
        <v>48</v>
      </c>
      <c r="N274" s="50" t="str">
        <f>VLOOKUP(M274,F419:G422,2,FALSE)</f>
        <v>C-Plains</v>
      </c>
    </row>
    <row r="275" spans="1:14" ht="15.75">
      <c r="A275" s="62">
        <v>1620</v>
      </c>
      <c r="B275" s="63">
        <v>41432</v>
      </c>
      <c r="C275" s="64" t="s">
        <v>13</v>
      </c>
      <c r="D275" s="97">
        <v>15248</v>
      </c>
      <c r="E275" s="80">
        <f t="shared" si="4"/>
        <v>7.3307692307692305</v>
      </c>
      <c r="F275" s="68">
        <f>ROUND(YEARFRAC(B275,F9),0)</f>
        <v>2</v>
      </c>
      <c r="G275" s="73">
        <v>12</v>
      </c>
      <c r="H275" s="74">
        <v>18</v>
      </c>
      <c r="I275" s="65"/>
      <c r="J275" s="66">
        <v>1</v>
      </c>
      <c r="K275" s="66">
        <v>2</v>
      </c>
      <c r="L275" s="66">
        <v>2</v>
      </c>
      <c r="M275" s="50" t="s">
        <v>48</v>
      </c>
      <c r="N275" s="50" t="str">
        <f>VLOOKUP(M275,F420:G423,2,FALSE)</f>
        <v>C-Plains</v>
      </c>
    </row>
    <row r="276" spans="1:14" ht="15.75">
      <c r="A276" s="62">
        <v>1622</v>
      </c>
      <c r="B276" s="63">
        <v>40945</v>
      </c>
      <c r="C276" s="64" t="s">
        <v>20</v>
      </c>
      <c r="D276" s="97">
        <v>33047</v>
      </c>
      <c r="E276" s="80">
        <f t="shared" si="4"/>
        <v>15.887980769230769</v>
      </c>
      <c r="F276" s="68">
        <f>ROUND(YEARFRAC(B276,F9),0)</f>
        <v>3</v>
      </c>
      <c r="G276" s="73">
        <v>12</v>
      </c>
      <c r="H276" s="74">
        <v>21</v>
      </c>
      <c r="I276" s="65"/>
      <c r="J276" s="66">
        <v>3</v>
      </c>
      <c r="K276" s="66">
        <v>2</v>
      </c>
      <c r="L276" s="66">
        <v>2</v>
      </c>
      <c r="M276" s="50" t="s">
        <v>51</v>
      </c>
      <c r="N276" s="50" t="str">
        <f>VLOOKUP(M276,F417:G420,2,FALSE)</f>
        <v>Northeast</v>
      </c>
    </row>
    <row r="277" spans="1:14" ht="15.75">
      <c r="A277" s="62">
        <v>1623</v>
      </c>
      <c r="B277" s="63">
        <v>40972</v>
      </c>
      <c r="C277" s="64" t="s">
        <v>64</v>
      </c>
      <c r="D277" s="97">
        <v>64153</v>
      </c>
      <c r="E277" s="80">
        <f t="shared" si="4"/>
        <v>30.842788461538461</v>
      </c>
      <c r="F277" s="68">
        <f>ROUND(YEARFRAC(B277,F9),0)</f>
        <v>3</v>
      </c>
      <c r="G277" s="73">
        <v>16</v>
      </c>
      <c r="H277" s="74">
        <v>28</v>
      </c>
      <c r="I277" s="65"/>
      <c r="J277" s="66">
        <v>2</v>
      </c>
      <c r="K277" s="66">
        <v>1</v>
      </c>
      <c r="L277" s="66">
        <v>1</v>
      </c>
      <c r="M277" s="50" t="s">
        <v>52</v>
      </c>
      <c r="N277" s="50" t="str">
        <f>VLOOKUP(M277,F418:G421,2,FALSE)</f>
        <v>Midwest</v>
      </c>
    </row>
    <row r="278" spans="1:14" ht="15.75">
      <c r="A278" s="62">
        <v>1625</v>
      </c>
      <c r="B278" s="63">
        <v>40068</v>
      </c>
      <c r="C278" s="64" t="s">
        <v>17</v>
      </c>
      <c r="D278" s="97">
        <v>60346</v>
      </c>
      <c r="E278" s="80">
        <f t="shared" si="4"/>
        <v>29.012499999999999</v>
      </c>
      <c r="F278" s="68">
        <f>ROUND(YEARFRAC(B278,F9),0)</f>
        <v>5</v>
      </c>
      <c r="G278" s="73">
        <v>16</v>
      </c>
      <c r="H278" s="74">
        <v>31</v>
      </c>
      <c r="I278" s="65"/>
      <c r="J278" s="66">
        <v>3</v>
      </c>
      <c r="K278" s="66">
        <v>1</v>
      </c>
      <c r="L278" s="66">
        <v>1</v>
      </c>
      <c r="M278" s="50" t="s">
        <v>52</v>
      </c>
      <c r="N278" s="50" t="str">
        <f>VLOOKUP(M278,F419:G422,2,FALSE)</f>
        <v>Midwest</v>
      </c>
    </row>
    <row r="279" spans="1:14" ht="15.75">
      <c r="A279" s="62">
        <v>1626</v>
      </c>
      <c r="B279" s="63">
        <v>41098</v>
      </c>
      <c r="C279" s="64" t="s">
        <v>13</v>
      </c>
      <c r="D279" s="97">
        <v>19141</v>
      </c>
      <c r="E279" s="80">
        <f t="shared" si="4"/>
        <v>9.202403846153846</v>
      </c>
      <c r="F279" s="68">
        <f>ROUND(YEARFRAC(B279,F9),0)</f>
        <v>2</v>
      </c>
      <c r="G279" s="73">
        <v>14</v>
      </c>
      <c r="H279" s="74">
        <v>21</v>
      </c>
      <c r="I279" s="65"/>
      <c r="J279" s="66">
        <v>3</v>
      </c>
      <c r="K279" s="66">
        <v>2</v>
      </c>
      <c r="L279" s="66">
        <v>2</v>
      </c>
      <c r="M279" s="50" t="s">
        <v>48</v>
      </c>
      <c r="N279" s="50" t="str">
        <f>VLOOKUP(M279,F420:G423,2,FALSE)</f>
        <v>C-Plains</v>
      </c>
    </row>
    <row r="280" spans="1:14" ht="15.75">
      <c r="A280" s="62">
        <v>1629</v>
      </c>
      <c r="B280" s="63">
        <v>40790</v>
      </c>
      <c r="C280" s="64" t="s">
        <v>20</v>
      </c>
      <c r="D280" s="97">
        <v>35550</v>
      </c>
      <c r="E280" s="80">
        <f t="shared" si="4"/>
        <v>17.091346153846153</v>
      </c>
      <c r="F280" s="68">
        <f>ROUND(YEARFRAC(B280,F9),0)</f>
        <v>3</v>
      </c>
      <c r="G280" s="73">
        <v>12</v>
      </c>
      <c r="H280" s="74">
        <v>24</v>
      </c>
      <c r="I280" s="65"/>
      <c r="J280" s="66">
        <v>1</v>
      </c>
      <c r="K280" s="66">
        <v>1</v>
      </c>
      <c r="L280" s="66">
        <v>1</v>
      </c>
      <c r="M280" s="50" t="s">
        <v>52</v>
      </c>
      <c r="N280" s="50" t="str">
        <f>VLOOKUP(M280,F417:G420,2,FALSE)</f>
        <v>Midwest</v>
      </c>
    </row>
    <row r="281" spans="1:14" ht="15.75">
      <c r="A281" s="62">
        <v>1630</v>
      </c>
      <c r="B281" s="63">
        <v>39703</v>
      </c>
      <c r="C281" s="64" t="s">
        <v>20</v>
      </c>
      <c r="D281" s="97">
        <v>47650</v>
      </c>
      <c r="E281" s="80">
        <f t="shared" si="4"/>
        <v>22.908653846153847</v>
      </c>
      <c r="F281" s="68">
        <f>ROUND(YEARFRAC(B281,F9),0)</f>
        <v>6</v>
      </c>
      <c r="G281" s="73">
        <v>12</v>
      </c>
      <c r="H281" s="74">
        <v>36</v>
      </c>
      <c r="I281" s="65"/>
      <c r="J281" s="66">
        <v>3</v>
      </c>
      <c r="K281" s="66">
        <v>1</v>
      </c>
      <c r="L281" s="66">
        <v>1</v>
      </c>
      <c r="M281" s="50" t="s">
        <v>52</v>
      </c>
      <c r="N281" s="50" t="str">
        <f>VLOOKUP(M281,F418:G421,2,FALSE)</f>
        <v>Midwest</v>
      </c>
    </row>
    <row r="282" spans="1:14" ht="15.75">
      <c r="A282" s="62">
        <v>1636</v>
      </c>
      <c r="B282" s="63">
        <v>39920</v>
      </c>
      <c r="C282" s="64" t="s">
        <v>13</v>
      </c>
      <c r="D282" s="97">
        <v>25671</v>
      </c>
      <c r="E282" s="80">
        <f t="shared" si="4"/>
        <v>12.341826923076923</v>
      </c>
      <c r="F282" s="68">
        <f>ROUND(YEARFRAC(B282,F9),0)</f>
        <v>6</v>
      </c>
      <c r="G282" s="73">
        <v>12</v>
      </c>
      <c r="H282" s="74">
        <v>24</v>
      </c>
      <c r="I282" s="65"/>
      <c r="J282" s="66">
        <v>4</v>
      </c>
      <c r="K282" s="66">
        <v>1</v>
      </c>
      <c r="L282" s="66">
        <v>1</v>
      </c>
      <c r="M282" s="50" t="s">
        <v>48</v>
      </c>
      <c r="N282" s="50" t="str">
        <f>VLOOKUP(M282,F419:G422,2,FALSE)</f>
        <v>C-Plains</v>
      </c>
    </row>
    <row r="283" spans="1:14" ht="15.75">
      <c r="A283" s="62">
        <v>1637</v>
      </c>
      <c r="B283" s="63">
        <v>40701</v>
      </c>
      <c r="C283" s="64" t="s">
        <v>16</v>
      </c>
      <c r="D283" s="97">
        <v>64494</v>
      </c>
      <c r="E283" s="80">
        <f t="shared" si="4"/>
        <v>31.006730769230771</v>
      </c>
      <c r="F283" s="68">
        <f>ROUND(YEARFRAC(B283,F9),0)</f>
        <v>4</v>
      </c>
      <c r="G283" s="73">
        <v>16</v>
      </c>
      <c r="H283" s="74">
        <v>37</v>
      </c>
      <c r="I283" s="65"/>
      <c r="J283" s="66">
        <v>4</v>
      </c>
      <c r="K283" s="66">
        <v>1</v>
      </c>
      <c r="L283" s="66">
        <v>1</v>
      </c>
      <c r="M283" s="50" t="s">
        <v>51</v>
      </c>
      <c r="N283" s="50" t="str">
        <f>VLOOKUP(M283,F417:G420,2,FALSE)</f>
        <v>Northeast</v>
      </c>
    </row>
    <row r="284" spans="1:14" ht="15.75">
      <c r="A284" s="62">
        <v>1638</v>
      </c>
      <c r="B284" s="63">
        <v>39326</v>
      </c>
      <c r="C284" s="64" t="s">
        <v>12</v>
      </c>
      <c r="D284" s="97">
        <v>46787</v>
      </c>
      <c r="E284" s="80">
        <f t="shared" si="4"/>
        <v>22.493749999999999</v>
      </c>
      <c r="F284" s="68">
        <f>ROUND(YEARFRAC(B284,F9),0)</f>
        <v>7</v>
      </c>
      <c r="G284" s="73">
        <v>12</v>
      </c>
      <c r="H284" s="74">
        <v>38</v>
      </c>
      <c r="I284" s="65"/>
      <c r="J284" s="66">
        <v>3</v>
      </c>
      <c r="K284" s="66">
        <v>1</v>
      </c>
      <c r="L284" s="66">
        <v>2</v>
      </c>
      <c r="M284" s="50" t="s">
        <v>52</v>
      </c>
      <c r="N284" s="50" t="str">
        <f>VLOOKUP(M284,F417:G420,2,FALSE)</f>
        <v>Midwest</v>
      </c>
    </row>
    <row r="285" spans="1:14" ht="15.75">
      <c r="A285" s="62">
        <v>1639</v>
      </c>
      <c r="B285" s="63">
        <v>41120</v>
      </c>
      <c r="C285" s="64" t="s">
        <v>12</v>
      </c>
      <c r="D285" s="97">
        <v>31567</v>
      </c>
      <c r="E285" s="80">
        <f t="shared" si="4"/>
        <v>15.176442307692307</v>
      </c>
      <c r="F285" s="68">
        <f>ROUND(YEARFRAC(B285,F9),0)</f>
        <v>2</v>
      </c>
      <c r="G285" s="73">
        <v>12</v>
      </c>
      <c r="H285" s="74">
        <v>23</v>
      </c>
      <c r="I285" s="65"/>
      <c r="J285" s="66">
        <v>1</v>
      </c>
      <c r="K285" s="66">
        <v>1</v>
      </c>
      <c r="L285" s="66">
        <v>2</v>
      </c>
      <c r="M285" s="50" t="s">
        <v>51</v>
      </c>
      <c r="N285" s="50" t="str">
        <f>VLOOKUP(M285,F417:G420,2,FALSE)</f>
        <v>Northeast</v>
      </c>
    </row>
    <row r="286" spans="1:14" ht="15.75">
      <c r="A286" s="62">
        <v>1640</v>
      </c>
      <c r="B286" s="63">
        <v>39307</v>
      </c>
      <c r="C286" s="64" t="s">
        <v>15</v>
      </c>
      <c r="D286" s="97">
        <v>77045</v>
      </c>
      <c r="E286" s="80">
        <f t="shared" si="4"/>
        <v>37.040865384615387</v>
      </c>
      <c r="F286" s="68">
        <f>ROUND(YEARFRAC(B286,F9),0)</f>
        <v>7</v>
      </c>
      <c r="G286" s="73">
        <v>16</v>
      </c>
      <c r="H286" s="74">
        <v>42</v>
      </c>
      <c r="I286" s="65"/>
      <c r="J286" s="66">
        <v>3</v>
      </c>
      <c r="K286" s="66">
        <v>1</v>
      </c>
      <c r="L286" s="66">
        <v>1</v>
      </c>
      <c r="M286" s="50" t="s">
        <v>51</v>
      </c>
      <c r="N286" s="50" t="str">
        <f>VLOOKUP(M286,F417:G420,2,FALSE)</f>
        <v>Northeast</v>
      </c>
    </row>
    <row r="287" spans="1:14" ht="15.75">
      <c r="A287" s="62">
        <v>1644</v>
      </c>
      <c r="B287" s="63">
        <v>40791</v>
      </c>
      <c r="C287" s="64" t="s">
        <v>13</v>
      </c>
      <c r="D287" s="97">
        <v>17598</v>
      </c>
      <c r="E287" s="80">
        <f t="shared" si="4"/>
        <v>8.460576923076923</v>
      </c>
      <c r="F287" s="68">
        <f>ROUND(YEARFRAC(B287,F9),0)</f>
        <v>3</v>
      </c>
      <c r="G287" s="73">
        <v>12</v>
      </c>
      <c r="H287" s="74">
        <v>19</v>
      </c>
      <c r="I287" s="65"/>
      <c r="J287" s="66">
        <v>3</v>
      </c>
      <c r="K287" s="66">
        <v>1</v>
      </c>
      <c r="L287" s="66">
        <v>2</v>
      </c>
      <c r="M287" s="50" t="s">
        <v>51</v>
      </c>
      <c r="N287" s="50" t="str">
        <f>VLOOKUP(M287,F418:G421,2,FALSE)</f>
        <v>Northeast</v>
      </c>
    </row>
    <row r="288" spans="1:14" ht="15.75">
      <c r="A288" s="62">
        <v>1654</v>
      </c>
      <c r="B288" s="63">
        <v>40701</v>
      </c>
      <c r="C288" s="64" t="s">
        <v>64</v>
      </c>
      <c r="D288" s="97">
        <v>79709</v>
      </c>
      <c r="E288" s="80">
        <f t="shared" si="4"/>
        <v>38.321634615384617</v>
      </c>
      <c r="F288" s="68">
        <f>ROUND(YEARFRAC(B288,F9),0)</f>
        <v>4</v>
      </c>
      <c r="G288" s="73">
        <v>16</v>
      </c>
      <c r="H288" s="74">
        <v>35</v>
      </c>
      <c r="I288" s="65"/>
      <c r="J288" s="66">
        <v>3</v>
      </c>
      <c r="K288" s="66">
        <v>2</v>
      </c>
      <c r="L288" s="66">
        <v>1</v>
      </c>
      <c r="M288" s="50" t="s">
        <v>48</v>
      </c>
      <c r="N288" s="50" t="str">
        <f>VLOOKUP(M288,F419:G422,2,FALSE)</f>
        <v>C-Plains</v>
      </c>
    </row>
    <row r="289" spans="1:14" ht="15.75">
      <c r="A289" s="62">
        <v>1658</v>
      </c>
      <c r="B289" s="63">
        <v>40259</v>
      </c>
      <c r="C289" s="64" t="s">
        <v>14</v>
      </c>
      <c r="D289" s="97">
        <v>32300</v>
      </c>
      <c r="E289" s="80">
        <f t="shared" si="4"/>
        <v>15.528846153846153</v>
      </c>
      <c r="F289" s="68">
        <f>ROUND(YEARFRAC(B289,F9),0)</f>
        <v>5</v>
      </c>
      <c r="G289" s="73">
        <v>16</v>
      </c>
      <c r="H289" s="74">
        <v>33</v>
      </c>
      <c r="I289" s="65"/>
      <c r="J289" s="66">
        <v>1</v>
      </c>
      <c r="K289" s="66">
        <v>2</v>
      </c>
      <c r="L289" s="66">
        <v>2</v>
      </c>
      <c r="M289" s="50" t="s">
        <v>51</v>
      </c>
      <c r="N289" s="50" t="str">
        <f>VLOOKUP(M289,F417:G420,2,FALSE)</f>
        <v>Northeast</v>
      </c>
    </row>
    <row r="290" spans="1:14" ht="15.75">
      <c r="A290" s="62">
        <v>1659</v>
      </c>
      <c r="B290" s="63">
        <v>39023</v>
      </c>
      <c r="C290" s="64" t="s">
        <v>12</v>
      </c>
      <c r="D290" s="97">
        <v>49925</v>
      </c>
      <c r="E290" s="80">
        <f t="shared" si="4"/>
        <v>24.002403846153847</v>
      </c>
      <c r="F290" s="68">
        <f>ROUND(YEARFRAC(B290,F9),0)</f>
        <v>8</v>
      </c>
      <c r="G290" s="73">
        <v>12</v>
      </c>
      <c r="H290" s="74">
        <v>40</v>
      </c>
      <c r="I290" s="65"/>
      <c r="J290" s="66">
        <v>1</v>
      </c>
      <c r="K290" s="66">
        <v>1</v>
      </c>
      <c r="L290" s="66">
        <v>2</v>
      </c>
      <c r="M290" s="50" t="s">
        <v>48</v>
      </c>
      <c r="N290" s="50" t="str">
        <f>VLOOKUP(M290,F418:G421,2,FALSE)</f>
        <v>C-Plains</v>
      </c>
    </row>
    <row r="291" spans="1:14" ht="15.75">
      <c r="A291" s="62">
        <v>1660</v>
      </c>
      <c r="B291" s="63">
        <v>40192</v>
      </c>
      <c r="C291" s="64" t="s">
        <v>12</v>
      </c>
      <c r="D291" s="97">
        <v>34420</v>
      </c>
      <c r="E291" s="80">
        <f t="shared" si="4"/>
        <v>16.548076923076923</v>
      </c>
      <c r="F291" s="68">
        <f>ROUND(YEARFRAC(B291,F9),0)</f>
        <v>5</v>
      </c>
      <c r="G291" s="73">
        <v>12</v>
      </c>
      <c r="H291" s="74">
        <v>28</v>
      </c>
      <c r="I291" s="65"/>
      <c r="J291" s="66">
        <v>1</v>
      </c>
      <c r="K291" s="66">
        <v>2</v>
      </c>
      <c r="L291" s="66">
        <v>1</v>
      </c>
      <c r="M291" s="50" t="s">
        <v>51</v>
      </c>
      <c r="N291" s="50" t="str">
        <f>VLOOKUP(M291,F417:G420,2,FALSE)</f>
        <v>Northeast</v>
      </c>
    </row>
    <row r="292" spans="1:14" ht="15.75">
      <c r="A292" s="62">
        <v>1661</v>
      </c>
      <c r="B292" s="63">
        <v>41351</v>
      </c>
      <c r="C292" s="64" t="s">
        <v>16</v>
      </c>
      <c r="D292" s="97">
        <v>52300</v>
      </c>
      <c r="E292" s="80">
        <f t="shared" si="4"/>
        <v>25.14423076923077</v>
      </c>
      <c r="F292" s="68">
        <f>ROUND(YEARFRAC(B292,F9),0)</f>
        <v>2</v>
      </c>
      <c r="G292" s="73">
        <v>16</v>
      </c>
      <c r="H292" s="74">
        <v>28</v>
      </c>
      <c r="I292" s="65"/>
      <c r="J292" s="66">
        <v>3</v>
      </c>
      <c r="K292" s="66">
        <v>2</v>
      </c>
      <c r="L292" s="66">
        <v>1</v>
      </c>
      <c r="M292" s="50" t="s">
        <v>52</v>
      </c>
      <c r="N292" s="50" t="str">
        <f>VLOOKUP(M292,F418:G421,2,FALSE)</f>
        <v>Midwest</v>
      </c>
    </row>
    <row r="293" spans="1:14" ht="15.75">
      <c r="A293" s="62">
        <v>1661</v>
      </c>
      <c r="B293" s="63">
        <v>40865</v>
      </c>
      <c r="C293" s="64" t="s">
        <v>20</v>
      </c>
      <c r="D293" s="97">
        <v>34456</v>
      </c>
      <c r="E293" s="80">
        <f t="shared" si="4"/>
        <v>16.565384615384616</v>
      </c>
      <c r="F293" s="68">
        <f>ROUND(YEARFRAC(B293,F9),0)</f>
        <v>3</v>
      </c>
      <c r="G293" s="73">
        <v>12</v>
      </c>
      <c r="H293" s="74">
        <v>23</v>
      </c>
      <c r="I293" s="65"/>
      <c r="J293" s="66">
        <v>1</v>
      </c>
      <c r="K293" s="66">
        <v>2</v>
      </c>
      <c r="L293" s="66">
        <v>2</v>
      </c>
      <c r="M293" s="50" t="s">
        <v>48</v>
      </c>
      <c r="N293" s="50" t="str">
        <f>VLOOKUP(M293,F419:G422,2,FALSE)</f>
        <v>C-Plains</v>
      </c>
    </row>
    <row r="294" spans="1:14" ht="15.75">
      <c r="A294" s="62">
        <v>1667</v>
      </c>
      <c r="B294" s="63">
        <v>39462</v>
      </c>
      <c r="C294" s="64" t="s">
        <v>64</v>
      </c>
      <c r="D294" s="97">
        <v>86096</v>
      </c>
      <c r="E294" s="80">
        <f t="shared" si="4"/>
        <v>41.392307692307689</v>
      </c>
      <c r="F294" s="68">
        <f>ROUND(YEARFRAC(B294,F9),0)</f>
        <v>7</v>
      </c>
      <c r="G294" s="73">
        <v>16</v>
      </c>
      <c r="H294" s="74">
        <v>40</v>
      </c>
      <c r="I294" s="65"/>
      <c r="J294" s="66">
        <v>3</v>
      </c>
      <c r="K294" s="66">
        <v>1</v>
      </c>
      <c r="L294" s="66">
        <v>1</v>
      </c>
      <c r="M294" s="50" t="s">
        <v>51</v>
      </c>
      <c r="N294" s="50" t="str">
        <f>VLOOKUP(M294,F417:G420,2,FALSE)</f>
        <v>Northeast</v>
      </c>
    </row>
    <row r="295" spans="1:14" ht="15.75">
      <c r="A295" s="62">
        <v>1667</v>
      </c>
      <c r="B295" s="63">
        <v>38425</v>
      </c>
      <c r="C295" s="64" t="s">
        <v>12</v>
      </c>
      <c r="D295" s="97">
        <v>51554</v>
      </c>
      <c r="E295" s="80">
        <f t="shared" si="4"/>
        <v>24.785576923076924</v>
      </c>
      <c r="F295" s="68">
        <f>ROUND(YEARFRAC(B295,F9),0)</f>
        <v>10</v>
      </c>
      <c r="G295" s="73">
        <v>12</v>
      </c>
      <c r="H295" s="74">
        <v>44</v>
      </c>
      <c r="I295" s="65"/>
      <c r="J295" s="66">
        <v>3</v>
      </c>
      <c r="K295" s="66">
        <v>1</v>
      </c>
      <c r="L295" s="66">
        <v>1</v>
      </c>
      <c r="M295" s="50" t="s">
        <v>51</v>
      </c>
      <c r="N295" s="50" t="str">
        <f>VLOOKUP(M295,F417:G420,2,FALSE)</f>
        <v>Northeast</v>
      </c>
    </row>
    <row r="296" spans="1:14" ht="15.75">
      <c r="A296" s="62">
        <v>1668</v>
      </c>
      <c r="B296" s="63">
        <v>36647</v>
      </c>
      <c r="C296" s="64" t="s">
        <v>31</v>
      </c>
      <c r="D296" s="97">
        <v>65089</v>
      </c>
      <c r="E296" s="80">
        <f t="shared" si="4"/>
        <v>31.292788461538461</v>
      </c>
      <c r="F296" s="68">
        <f>ROUND(YEARFRAC(B296,F9),0)</f>
        <v>15</v>
      </c>
      <c r="G296" s="73">
        <v>16</v>
      </c>
      <c r="H296" s="74">
        <f>21+14</f>
        <v>35</v>
      </c>
      <c r="I296" s="65" t="str">
        <f>IF(F296&gt;=10,"Yes","No")</f>
        <v>Yes</v>
      </c>
      <c r="J296" s="66">
        <v>3</v>
      </c>
      <c r="K296" s="66">
        <v>1</v>
      </c>
      <c r="L296" s="66">
        <v>1</v>
      </c>
      <c r="M296" s="50" t="s">
        <v>52</v>
      </c>
      <c r="N296" s="50" t="str">
        <f>VLOOKUP(M296,F417:G420,2,FALSE)</f>
        <v>Midwest</v>
      </c>
    </row>
    <row r="297" spans="1:14" ht="15.75">
      <c r="A297" s="62">
        <v>1668</v>
      </c>
      <c r="B297" s="63">
        <v>40004</v>
      </c>
      <c r="C297" s="64" t="s">
        <v>12</v>
      </c>
      <c r="D297" s="97">
        <v>35688</v>
      </c>
      <c r="E297" s="80">
        <f t="shared" si="4"/>
        <v>17.157692307692308</v>
      </c>
      <c r="F297" s="68">
        <f>ROUND(YEARFRAC(B297,F9),0)</f>
        <v>5</v>
      </c>
      <c r="G297" s="73">
        <v>12</v>
      </c>
      <c r="H297" s="74">
        <v>32</v>
      </c>
      <c r="I297" s="65"/>
      <c r="J297" s="66">
        <v>4</v>
      </c>
      <c r="K297" s="66">
        <v>1</v>
      </c>
      <c r="L297" s="66">
        <v>2</v>
      </c>
      <c r="M297" s="50" t="s">
        <v>51</v>
      </c>
      <c r="N297" s="50" t="str">
        <f>VLOOKUP(M297,F417:G420,2,FALSE)</f>
        <v>Northeast</v>
      </c>
    </row>
    <row r="298" spans="1:14" ht="15.75">
      <c r="A298" s="62">
        <v>1669</v>
      </c>
      <c r="B298" s="63">
        <v>40791</v>
      </c>
      <c r="C298" s="64" t="s">
        <v>15</v>
      </c>
      <c r="D298" s="97">
        <v>61882</v>
      </c>
      <c r="E298" s="80">
        <f t="shared" si="4"/>
        <v>29.750961538461539</v>
      </c>
      <c r="F298" s="68">
        <f>ROUND(YEARFRAC(B298,F9),0)</f>
        <v>3</v>
      </c>
      <c r="G298" s="73">
        <v>16</v>
      </c>
      <c r="H298" s="74">
        <v>32</v>
      </c>
      <c r="I298" s="65"/>
      <c r="J298" s="66">
        <v>3</v>
      </c>
      <c r="K298" s="66">
        <v>2</v>
      </c>
      <c r="L298" s="66">
        <v>1</v>
      </c>
      <c r="M298" s="50" t="s">
        <v>51</v>
      </c>
      <c r="N298" s="50" t="str">
        <f>VLOOKUP(M298,F417:G420,2,FALSE)</f>
        <v>Northeast</v>
      </c>
    </row>
    <row r="299" spans="1:14" ht="15.75">
      <c r="A299" s="62">
        <v>1671</v>
      </c>
      <c r="B299" s="63">
        <v>41073</v>
      </c>
      <c r="C299" s="64" t="s">
        <v>12</v>
      </c>
      <c r="D299" s="97">
        <v>31809</v>
      </c>
      <c r="E299" s="80">
        <f t="shared" si="4"/>
        <v>15.292788461538462</v>
      </c>
      <c r="F299" s="68">
        <f>ROUND(YEARFRAC(B299,F9),0)</f>
        <v>3</v>
      </c>
      <c r="G299" s="73">
        <v>12</v>
      </c>
      <c r="H299" s="74">
        <v>23</v>
      </c>
      <c r="I299" s="65"/>
      <c r="J299" s="66">
        <v>3</v>
      </c>
      <c r="K299" s="66">
        <v>1</v>
      </c>
      <c r="L299" s="66">
        <v>1</v>
      </c>
      <c r="M299" s="50" t="s">
        <v>52</v>
      </c>
      <c r="N299" s="50" t="str">
        <f>VLOOKUP(M299,F418:G421,2,FALSE)</f>
        <v>Midwest</v>
      </c>
    </row>
    <row r="300" spans="1:14" ht="15.75">
      <c r="A300" s="62">
        <v>1672</v>
      </c>
      <c r="B300" s="63">
        <v>39572</v>
      </c>
      <c r="C300" s="64" t="s">
        <v>32</v>
      </c>
      <c r="D300" s="97">
        <v>96546</v>
      </c>
      <c r="E300" s="80">
        <f t="shared" si="4"/>
        <v>46.416346153846156</v>
      </c>
      <c r="F300" s="68">
        <f>ROUND(YEARFRAC(B300,F9),0)</f>
        <v>7</v>
      </c>
      <c r="G300" s="73">
        <v>12</v>
      </c>
      <c r="H300" s="74">
        <v>38</v>
      </c>
      <c r="I300" s="65"/>
      <c r="J300" s="66">
        <v>3</v>
      </c>
      <c r="K300" s="66">
        <v>1</v>
      </c>
      <c r="L300" s="66">
        <v>1</v>
      </c>
      <c r="M300" s="50" t="s">
        <v>52</v>
      </c>
      <c r="N300" s="50" t="str">
        <f>VLOOKUP(M300,F419:G422,2,FALSE)</f>
        <v>Midwest</v>
      </c>
    </row>
    <row r="301" spans="1:14" ht="15.75">
      <c r="A301" s="62">
        <v>1673</v>
      </c>
      <c r="B301" s="63">
        <v>41340</v>
      </c>
      <c r="C301" s="64" t="s">
        <v>26</v>
      </c>
      <c r="D301" s="97">
        <v>67415</v>
      </c>
      <c r="E301" s="80">
        <f t="shared" si="4"/>
        <v>32.411057692307693</v>
      </c>
      <c r="F301" s="68">
        <f>ROUND(YEARFRAC(B301,F9),0)</f>
        <v>2</v>
      </c>
      <c r="G301" s="73">
        <v>16</v>
      </c>
      <c r="H301" s="74">
        <v>35</v>
      </c>
      <c r="I301" s="65"/>
      <c r="J301" s="66">
        <v>3</v>
      </c>
      <c r="K301" s="66">
        <v>2</v>
      </c>
      <c r="L301" s="66">
        <v>1</v>
      </c>
      <c r="M301" s="50" t="s">
        <v>52</v>
      </c>
      <c r="N301" s="50" t="str">
        <f>VLOOKUP(M301,F417:G420,2,FALSE)</f>
        <v>Midwest</v>
      </c>
    </row>
    <row r="302" spans="1:14" ht="15.75">
      <c r="A302" s="62">
        <v>1679</v>
      </c>
      <c r="B302" s="63">
        <v>39951</v>
      </c>
      <c r="C302" s="64" t="s">
        <v>27</v>
      </c>
      <c r="D302" s="97">
        <v>66109</v>
      </c>
      <c r="E302" s="80">
        <f t="shared" si="4"/>
        <v>31.783173076923077</v>
      </c>
      <c r="F302" s="68">
        <f>ROUND(YEARFRAC(B302,F9),0)</f>
        <v>6</v>
      </c>
      <c r="G302" s="73">
        <v>16</v>
      </c>
      <c r="H302" s="74">
        <v>39</v>
      </c>
      <c r="I302" s="65"/>
      <c r="J302" s="66">
        <v>3</v>
      </c>
      <c r="K302" s="66">
        <v>1</v>
      </c>
      <c r="L302" s="66">
        <v>1</v>
      </c>
      <c r="M302" s="50" t="s">
        <v>51</v>
      </c>
      <c r="N302" s="50" t="str">
        <f>VLOOKUP(M302,F417:G420,2,FALSE)</f>
        <v>Northeast</v>
      </c>
    </row>
    <row r="303" spans="1:14" ht="15.75">
      <c r="A303" s="62">
        <v>1680</v>
      </c>
      <c r="B303" s="63">
        <v>41280</v>
      </c>
      <c r="C303" s="64" t="s">
        <v>15</v>
      </c>
      <c r="D303" s="97">
        <v>51226</v>
      </c>
      <c r="E303" s="80">
        <f t="shared" si="4"/>
        <v>24.627884615384616</v>
      </c>
      <c r="F303" s="68">
        <f>ROUND(YEARFRAC(B303,F9),0)</f>
        <v>2</v>
      </c>
      <c r="G303" s="73">
        <v>16</v>
      </c>
      <c r="H303" s="74">
        <v>24</v>
      </c>
      <c r="I303" s="65"/>
      <c r="J303" s="66">
        <v>1</v>
      </c>
      <c r="K303" s="66">
        <v>1</v>
      </c>
      <c r="L303" s="66">
        <v>2</v>
      </c>
      <c r="M303" s="50" t="s">
        <v>52</v>
      </c>
      <c r="N303" s="50" t="str">
        <f>VLOOKUP(M303,F418:G421,2,FALSE)</f>
        <v>Midwest</v>
      </c>
    </row>
    <row r="304" spans="1:14" ht="15.75">
      <c r="A304" s="62">
        <v>1687</v>
      </c>
      <c r="B304" s="63">
        <v>38701</v>
      </c>
      <c r="C304" s="64" t="s">
        <v>13</v>
      </c>
      <c r="D304" s="97">
        <v>27541</v>
      </c>
      <c r="E304" s="80">
        <f t="shared" si="4"/>
        <v>13.240865384615384</v>
      </c>
      <c r="F304" s="68">
        <f>ROUND(YEARFRAC(B304,F9),0)</f>
        <v>9</v>
      </c>
      <c r="G304" s="73">
        <v>14</v>
      </c>
      <c r="H304" s="74">
        <v>30</v>
      </c>
      <c r="I304" s="65"/>
      <c r="J304" s="66">
        <v>1</v>
      </c>
      <c r="K304" s="66">
        <v>1</v>
      </c>
      <c r="L304" s="66">
        <v>1</v>
      </c>
      <c r="M304" s="50" t="s">
        <v>48</v>
      </c>
      <c r="N304" s="50" t="str">
        <f>VLOOKUP(M304,F419:G422,2,FALSE)</f>
        <v>C-Plains</v>
      </c>
    </row>
    <row r="305" spans="1:14" ht="15.75">
      <c r="A305" s="62">
        <v>1687</v>
      </c>
      <c r="B305" s="63">
        <v>38140</v>
      </c>
      <c r="C305" s="64" t="s">
        <v>12</v>
      </c>
      <c r="D305" s="97">
        <v>53784</v>
      </c>
      <c r="E305" s="80">
        <f t="shared" si="4"/>
        <v>25.857692307692307</v>
      </c>
      <c r="F305" s="68">
        <f>ROUND(YEARFRAC(B305,F9),0)</f>
        <v>11</v>
      </c>
      <c r="G305" s="73">
        <v>12</v>
      </c>
      <c r="H305" s="74">
        <v>46</v>
      </c>
      <c r="I305" s="65" t="str">
        <f>IF(F305&gt;=10,"Yes","No")</f>
        <v>Yes</v>
      </c>
      <c r="J305" s="66">
        <v>3</v>
      </c>
      <c r="K305" s="66">
        <v>1</v>
      </c>
      <c r="L305" s="66">
        <v>1</v>
      </c>
      <c r="M305" s="50" t="s">
        <v>52</v>
      </c>
      <c r="N305" s="50" t="str">
        <f>VLOOKUP(M305,F417:G420,2,FALSE)</f>
        <v>Midwest</v>
      </c>
    </row>
    <row r="306" spans="1:14" ht="15.75">
      <c r="A306" s="62">
        <v>1693</v>
      </c>
      <c r="B306" s="63">
        <v>36234</v>
      </c>
      <c r="C306" s="64" t="s">
        <v>64</v>
      </c>
      <c r="D306" s="97">
        <v>93678</v>
      </c>
      <c r="E306" s="80">
        <f t="shared" si="4"/>
        <v>45.037500000000001</v>
      </c>
      <c r="F306" s="68">
        <f>ROUND(YEARFRAC(B306,F9),0)</f>
        <v>16</v>
      </c>
      <c r="G306" s="73">
        <v>19</v>
      </c>
      <c r="H306" s="74">
        <v>54</v>
      </c>
      <c r="I306" s="65" t="str">
        <f>IF(F306&gt;=10,"Yes","No")</f>
        <v>Yes</v>
      </c>
      <c r="J306" s="66">
        <v>3</v>
      </c>
      <c r="K306" s="66">
        <v>1</v>
      </c>
      <c r="L306" s="66">
        <v>1</v>
      </c>
      <c r="M306" s="50" t="s">
        <v>51</v>
      </c>
      <c r="N306" s="50" t="str">
        <f>VLOOKUP(M306,F417:G420,2,FALSE)</f>
        <v>Northeast</v>
      </c>
    </row>
    <row r="307" spans="1:14" ht="15.75">
      <c r="A307" s="62">
        <v>1709</v>
      </c>
      <c r="B307" s="63">
        <v>38615</v>
      </c>
      <c r="C307" s="64" t="s">
        <v>12</v>
      </c>
      <c r="D307" s="97">
        <v>50522</v>
      </c>
      <c r="E307" s="80">
        <f t="shared" si="4"/>
        <v>24.289423076923075</v>
      </c>
      <c r="F307" s="68">
        <f>ROUND(YEARFRAC(B307,F9),0)</f>
        <v>9</v>
      </c>
      <c r="G307" s="73">
        <v>12</v>
      </c>
      <c r="H307" s="74">
        <v>43</v>
      </c>
      <c r="I307" s="65"/>
      <c r="J307" s="66">
        <v>1</v>
      </c>
      <c r="K307" s="66">
        <v>1</v>
      </c>
      <c r="L307" s="66">
        <v>1</v>
      </c>
      <c r="M307" s="50" t="s">
        <v>52</v>
      </c>
      <c r="N307" s="50" t="str">
        <f>VLOOKUP(M307,F418:G421,2,FALSE)</f>
        <v>Midwest</v>
      </c>
    </row>
    <row r="308" spans="1:14" ht="15.75">
      <c r="A308" s="62">
        <v>1723</v>
      </c>
      <c r="B308" s="63">
        <v>41062</v>
      </c>
      <c r="C308" s="64" t="s">
        <v>13</v>
      </c>
      <c r="D308" s="97">
        <v>19397</v>
      </c>
      <c r="E308" s="80">
        <f t="shared" si="4"/>
        <v>9.3254807692307686</v>
      </c>
      <c r="F308" s="68">
        <f>ROUND(YEARFRAC(B308,F9),0)</f>
        <v>3</v>
      </c>
      <c r="G308" s="73">
        <v>14</v>
      </c>
      <c r="H308" s="74">
        <v>21</v>
      </c>
      <c r="I308" s="65"/>
      <c r="J308" s="66">
        <v>3</v>
      </c>
      <c r="K308" s="66">
        <v>1</v>
      </c>
      <c r="L308" s="66">
        <v>2</v>
      </c>
      <c r="M308" s="50" t="s">
        <v>51</v>
      </c>
      <c r="N308" s="50" t="str">
        <f>VLOOKUP(M308,F417:G420,2,FALSE)</f>
        <v>Northeast</v>
      </c>
    </row>
    <row r="309" spans="1:14" ht="15.75">
      <c r="A309" s="62">
        <v>1723</v>
      </c>
      <c r="B309" s="4">
        <v>39396</v>
      </c>
      <c r="C309" s="64" t="s">
        <v>12</v>
      </c>
      <c r="D309" s="97">
        <v>45495</v>
      </c>
      <c r="E309" s="80">
        <f t="shared" si="4"/>
        <v>21.872596153846153</v>
      </c>
      <c r="F309" s="68">
        <f>ROUND(YEARFRAC(B309,F9),0)</f>
        <v>7</v>
      </c>
      <c r="G309" s="73">
        <v>12</v>
      </c>
      <c r="H309" s="74">
        <v>36</v>
      </c>
      <c r="I309" s="65"/>
      <c r="J309" s="66">
        <v>1</v>
      </c>
      <c r="K309" s="66">
        <v>1</v>
      </c>
      <c r="L309" s="66">
        <v>1</v>
      </c>
      <c r="M309" s="50" t="s">
        <v>51</v>
      </c>
      <c r="N309" s="50" t="str">
        <f>VLOOKUP(M309,F417:G420,2,FALSE)</f>
        <v>Northeast</v>
      </c>
    </row>
    <row r="310" spans="1:14" ht="15.75">
      <c r="A310" s="62">
        <v>1726</v>
      </c>
      <c r="B310" s="63">
        <v>36234</v>
      </c>
      <c r="C310" s="64" t="s">
        <v>15</v>
      </c>
      <c r="D310" s="97">
        <v>81159</v>
      </c>
      <c r="E310" s="80">
        <f t="shared" si="4"/>
        <v>39.018749999999997</v>
      </c>
      <c r="F310" s="68">
        <f>ROUND(YEARFRAC(B310,F9),0)</f>
        <v>16</v>
      </c>
      <c r="G310" s="73">
        <v>19</v>
      </c>
      <c r="H310" s="74">
        <v>56</v>
      </c>
      <c r="I310" s="65" t="str">
        <f>IF(F310&gt;=10,"Yes","No")</f>
        <v>Yes</v>
      </c>
      <c r="J310" s="66">
        <v>3</v>
      </c>
      <c r="K310" s="66">
        <v>1</v>
      </c>
      <c r="L310" s="66">
        <v>1</v>
      </c>
      <c r="M310" s="50" t="s">
        <v>51</v>
      </c>
      <c r="N310" s="50" t="str">
        <f>VLOOKUP(M310,F417:G420,2,FALSE)</f>
        <v>Northeast</v>
      </c>
    </row>
    <row r="311" spans="1:14" ht="15.75">
      <c r="A311" s="62">
        <v>1733</v>
      </c>
      <c r="B311" s="63">
        <v>41535</v>
      </c>
      <c r="C311" s="64" t="s">
        <v>19</v>
      </c>
      <c r="D311" s="97">
        <v>65780</v>
      </c>
      <c r="E311" s="80">
        <f t="shared" si="4"/>
        <v>31.625</v>
      </c>
      <c r="F311" s="68">
        <f>ROUND(YEARFRAC(B311,F9),0)</f>
        <v>1</v>
      </c>
      <c r="G311" s="73">
        <v>16</v>
      </c>
      <c r="H311" s="74">
        <v>32</v>
      </c>
      <c r="I311" s="65"/>
      <c r="J311" s="66">
        <v>1</v>
      </c>
      <c r="K311" s="66">
        <v>2</v>
      </c>
      <c r="L311" s="66">
        <v>1</v>
      </c>
      <c r="M311" s="50" t="s">
        <v>51</v>
      </c>
      <c r="N311" s="50" t="str">
        <f>VLOOKUP(M311,F417:G420,2,FALSE)</f>
        <v>Northeast</v>
      </c>
    </row>
    <row r="312" spans="1:14" ht="15.75">
      <c r="A312" s="62">
        <v>1736</v>
      </c>
      <c r="B312" s="63">
        <v>39343</v>
      </c>
      <c r="C312" s="64" t="s">
        <v>13</v>
      </c>
      <c r="D312" s="97">
        <v>27221</v>
      </c>
      <c r="E312" s="80">
        <f t="shared" si="4"/>
        <v>13.087019230769231</v>
      </c>
      <c r="F312" s="68">
        <f>ROUND(YEARFRAC(B312,F9),0)</f>
        <v>7</v>
      </c>
      <c r="G312" s="73">
        <v>12</v>
      </c>
      <c r="H312" s="74">
        <v>28</v>
      </c>
      <c r="I312" s="65"/>
      <c r="J312" s="66">
        <v>3</v>
      </c>
      <c r="K312" s="66">
        <v>2</v>
      </c>
      <c r="L312" s="66">
        <v>2</v>
      </c>
      <c r="M312" s="50" t="s">
        <v>51</v>
      </c>
      <c r="N312" s="50" t="str">
        <f>VLOOKUP(M312,F417:G420,2,FALSE)</f>
        <v>Northeast</v>
      </c>
    </row>
    <row r="313" spans="1:14" ht="15.75">
      <c r="A313" s="62">
        <v>1736</v>
      </c>
      <c r="B313" s="63">
        <v>39904</v>
      </c>
      <c r="C313" s="64" t="s">
        <v>12</v>
      </c>
      <c r="D313" s="97">
        <v>39130</v>
      </c>
      <c r="E313" s="80">
        <f t="shared" si="4"/>
        <v>18.8125</v>
      </c>
      <c r="F313" s="68">
        <f>ROUND(YEARFRAC(B313,F9),0)</f>
        <v>6</v>
      </c>
      <c r="G313" s="73">
        <v>12</v>
      </c>
      <c r="H313" s="74">
        <v>33</v>
      </c>
      <c r="I313" s="65"/>
      <c r="J313" s="66">
        <v>3</v>
      </c>
      <c r="K313" s="66">
        <v>1</v>
      </c>
      <c r="L313" s="66">
        <v>2</v>
      </c>
      <c r="M313" s="50" t="s">
        <v>52</v>
      </c>
      <c r="N313" s="50" t="str">
        <f>VLOOKUP(M313,F418:G421,2,FALSE)</f>
        <v>Midwest</v>
      </c>
    </row>
    <row r="314" spans="1:14" ht="15.75">
      <c r="A314" s="62">
        <v>1737</v>
      </c>
      <c r="B314" s="63">
        <v>36234</v>
      </c>
      <c r="C314" s="64" t="s">
        <v>29</v>
      </c>
      <c r="D314" s="97">
        <v>76188</v>
      </c>
      <c r="E314" s="80">
        <f t="shared" si="4"/>
        <v>36.628846153846155</v>
      </c>
      <c r="F314" s="68">
        <f>ROUND(YEARFRAC(B314,F9),0)</f>
        <v>16</v>
      </c>
      <c r="G314" s="73">
        <v>16</v>
      </c>
      <c r="H314" s="74">
        <v>52</v>
      </c>
      <c r="I314" s="65" t="str">
        <f>IF(F314&gt;=10,"Yes","No")</f>
        <v>Yes</v>
      </c>
      <c r="J314" s="66">
        <v>3</v>
      </c>
      <c r="K314" s="66">
        <v>1</v>
      </c>
      <c r="L314" s="66">
        <v>1</v>
      </c>
      <c r="M314" s="50" t="s">
        <v>51</v>
      </c>
      <c r="N314" s="50" t="str">
        <f>VLOOKUP(M314,F417:G420,2,FALSE)</f>
        <v>Northeast</v>
      </c>
    </row>
    <row r="315" spans="1:14" ht="15.75">
      <c r="A315" s="62">
        <v>1741</v>
      </c>
      <c r="B315" s="63">
        <v>39902</v>
      </c>
      <c r="C315" s="64" t="s">
        <v>12</v>
      </c>
      <c r="D315" s="97">
        <v>39191</v>
      </c>
      <c r="E315" s="80">
        <f t="shared" si="4"/>
        <v>18.841826923076923</v>
      </c>
      <c r="F315" s="68">
        <f>ROUND(YEARFRAC(B315,F9),0)</f>
        <v>6</v>
      </c>
      <c r="G315" s="73">
        <v>12</v>
      </c>
      <c r="H315" s="74">
        <v>34</v>
      </c>
      <c r="I315" s="65"/>
      <c r="J315" s="66">
        <v>3</v>
      </c>
      <c r="K315" s="66">
        <v>1</v>
      </c>
      <c r="L315" s="66">
        <v>1</v>
      </c>
      <c r="M315" s="50" t="s">
        <v>52</v>
      </c>
      <c r="N315" s="50" t="str">
        <f>VLOOKUP(M315,F417:G420,2,FALSE)</f>
        <v>Midwest</v>
      </c>
    </row>
    <row r="316" spans="1:14" ht="15.75">
      <c r="A316" s="62">
        <v>1744</v>
      </c>
      <c r="B316" s="63">
        <v>40709</v>
      </c>
      <c r="C316" s="64" t="s">
        <v>46</v>
      </c>
      <c r="D316" s="97">
        <v>110233</v>
      </c>
      <c r="E316" s="80">
        <f t="shared" si="4"/>
        <v>52.996634615384615</v>
      </c>
      <c r="F316" s="68">
        <f>ROUND(YEARFRAC(B316,F9),0)</f>
        <v>4</v>
      </c>
      <c r="G316" s="73">
        <v>19</v>
      </c>
      <c r="H316" s="74">
        <v>45</v>
      </c>
      <c r="I316" s="65"/>
      <c r="J316" s="66">
        <v>3</v>
      </c>
      <c r="K316" s="66">
        <v>1</v>
      </c>
      <c r="L316" s="66">
        <v>1</v>
      </c>
      <c r="M316" s="50" t="s">
        <v>51</v>
      </c>
      <c r="N316" s="50" t="str">
        <f>VLOOKUP(M316,F417:G420,2,FALSE)</f>
        <v>Northeast</v>
      </c>
    </row>
    <row r="317" spans="1:14" ht="15.75">
      <c r="A317" s="62">
        <v>1744</v>
      </c>
      <c r="B317" s="63">
        <v>38945</v>
      </c>
      <c r="C317" s="64" t="s">
        <v>13</v>
      </c>
      <c r="D317" s="97">
        <v>28486</v>
      </c>
      <c r="E317" s="80">
        <f t="shared" si="4"/>
        <v>13.695192307692308</v>
      </c>
      <c r="F317" s="68">
        <f>ROUND(YEARFRAC(B317,F9),0)</f>
        <v>8</v>
      </c>
      <c r="G317" s="73">
        <v>12</v>
      </c>
      <c r="H317" s="74">
        <v>32</v>
      </c>
      <c r="I317" s="65"/>
      <c r="J317" s="66">
        <v>1</v>
      </c>
      <c r="K317" s="66">
        <v>1</v>
      </c>
      <c r="L317" s="66">
        <v>1</v>
      </c>
      <c r="M317" s="50" t="s">
        <v>48</v>
      </c>
      <c r="N317" s="50" t="str">
        <f>VLOOKUP(M317,F417:G420,2,FALSE)</f>
        <v>C-Plains</v>
      </c>
    </row>
    <row r="318" spans="1:14" ht="15.75">
      <c r="A318" s="62">
        <v>1744</v>
      </c>
      <c r="B318" s="4">
        <v>39398</v>
      </c>
      <c r="C318" s="64" t="s">
        <v>12</v>
      </c>
      <c r="D318" s="97">
        <v>45317</v>
      </c>
      <c r="E318" s="80">
        <f t="shared" si="4"/>
        <v>21.787019230769232</v>
      </c>
      <c r="F318" s="68">
        <f>ROUND(YEARFRAC(B318,F9),0)</f>
        <v>7</v>
      </c>
      <c r="G318" s="73">
        <v>12</v>
      </c>
      <c r="H318" s="74">
        <v>36</v>
      </c>
      <c r="I318" s="65"/>
      <c r="J318" s="66">
        <v>3</v>
      </c>
      <c r="K318" s="66">
        <v>1</v>
      </c>
      <c r="L318" s="66">
        <v>1</v>
      </c>
      <c r="M318" s="50" t="s">
        <v>48</v>
      </c>
      <c r="N318" s="50" t="str">
        <f>VLOOKUP(M318,F417:G420,2,FALSE)</f>
        <v>C-Plains</v>
      </c>
    </row>
    <row r="319" spans="1:14" ht="15.75">
      <c r="A319" s="62">
        <v>1745</v>
      </c>
      <c r="B319" s="63">
        <v>40339</v>
      </c>
      <c r="C319" s="64" t="s">
        <v>12</v>
      </c>
      <c r="D319" s="97">
        <v>34196</v>
      </c>
      <c r="E319" s="80">
        <f t="shared" si="4"/>
        <v>16.440384615384616</v>
      </c>
      <c r="F319" s="68">
        <f>ROUND(YEARFRAC(B319,F9),0)</f>
        <v>5</v>
      </c>
      <c r="G319" s="73">
        <v>12</v>
      </c>
      <c r="H319" s="74">
        <v>28</v>
      </c>
      <c r="I319" s="65"/>
      <c r="J319" s="66">
        <v>4</v>
      </c>
      <c r="K319" s="66">
        <v>1</v>
      </c>
      <c r="L319" s="66">
        <v>1</v>
      </c>
      <c r="M319" s="50" t="s">
        <v>51</v>
      </c>
      <c r="N319" s="50" t="str">
        <f>VLOOKUP(M319,F417:G420,2,FALSE)</f>
        <v>Northeast</v>
      </c>
    </row>
    <row r="320" spans="1:14" ht="15.75">
      <c r="A320" s="62">
        <v>1748</v>
      </c>
      <c r="B320" s="63">
        <v>40415</v>
      </c>
      <c r="C320" s="64" t="s">
        <v>26</v>
      </c>
      <c r="D320" s="97">
        <v>68352</v>
      </c>
      <c r="E320" s="80">
        <f t="shared" si="4"/>
        <v>32.861538461538458</v>
      </c>
      <c r="F320" s="68">
        <f>ROUND(YEARFRAC(B320,F9),0)</f>
        <v>4</v>
      </c>
      <c r="G320" s="73">
        <v>16</v>
      </c>
      <c r="H320" s="74">
        <v>35</v>
      </c>
      <c r="I320" s="65"/>
      <c r="J320" s="66">
        <v>3</v>
      </c>
      <c r="K320" s="66">
        <v>2</v>
      </c>
      <c r="L320" s="66">
        <v>1</v>
      </c>
      <c r="M320" s="50" t="s">
        <v>51</v>
      </c>
      <c r="N320" s="50" t="str">
        <f>VLOOKUP(M320,F417:G420,2,FALSE)</f>
        <v>Northeast</v>
      </c>
    </row>
    <row r="321" spans="1:14" ht="15.75">
      <c r="A321" s="62">
        <v>1749</v>
      </c>
      <c r="B321" s="63">
        <v>36752</v>
      </c>
      <c r="C321" s="64" t="s">
        <v>18</v>
      </c>
      <c r="D321" s="97">
        <v>82777</v>
      </c>
      <c r="E321" s="80">
        <f t="shared" si="4"/>
        <v>39.796634615384619</v>
      </c>
      <c r="F321" s="68">
        <f>ROUND(YEARFRAC(B321,F9),0)</f>
        <v>14</v>
      </c>
      <c r="G321" s="73">
        <v>12</v>
      </c>
      <c r="H321" s="74">
        <v>56</v>
      </c>
      <c r="I321" s="65" t="str">
        <f>IF(F321&gt;=10,"Yes","No")</f>
        <v>Yes</v>
      </c>
      <c r="J321" s="66">
        <v>1</v>
      </c>
      <c r="K321" s="66">
        <v>1</v>
      </c>
      <c r="L321" s="66">
        <v>2</v>
      </c>
      <c r="M321" s="50" t="s">
        <v>48</v>
      </c>
      <c r="N321" s="50" t="str">
        <f>VLOOKUP(M321,F417:G420,2,FALSE)</f>
        <v>C-Plains</v>
      </c>
    </row>
    <row r="322" spans="1:14" ht="15.75">
      <c r="A322" s="62">
        <v>1750</v>
      </c>
      <c r="B322" s="63">
        <v>40351</v>
      </c>
      <c r="C322" s="64" t="s">
        <v>13</v>
      </c>
      <c r="D322" s="97">
        <v>21828</v>
      </c>
      <c r="E322" s="80">
        <f t="shared" si="4"/>
        <v>10.49423076923077</v>
      </c>
      <c r="F322" s="68">
        <f>ROUND(YEARFRAC(B322,F9),0)</f>
        <v>5</v>
      </c>
      <c r="G322" s="73">
        <v>14</v>
      </c>
      <c r="H322" s="74">
        <v>22</v>
      </c>
      <c r="I322" s="65"/>
      <c r="J322" s="66">
        <v>3</v>
      </c>
      <c r="K322" s="66">
        <v>1</v>
      </c>
      <c r="L322" s="66">
        <v>2</v>
      </c>
      <c r="M322" s="50" t="s">
        <v>48</v>
      </c>
      <c r="N322" s="50" t="str">
        <f>VLOOKUP(M322,F417:G420,2,FALSE)</f>
        <v>C-Plains</v>
      </c>
    </row>
    <row r="323" spans="1:14" ht="15.75">
      <c r="A323" s="62">
        <v>1750</v>
      </c>
      <c r="B323" s="63">
        <v>40038</v>
      </c>
      <c r="C323" s="64" t="s">
        <v>12</v>
      </c>
      <c r="D323" s="97">
        <v>35536</v>
      </c>
      <c r="E323" s="80">
        <f t="shared" si="4"/>
        <v>17.084615384615386</v>
      </c>
      <c r="F323" s="68">
        <f>ROUND(YEARFRAC(B323,F9),0)</f>
        <v>5</v>
      </c>
      <c r="G323" s="73">
        <v>12</v>
      </c>
      <c r="H323" s="74">
        <v>31</v>
      </c>
      <c r="I323" s="65"/>
      <c r="J323" s="66">
        <v>1</v>
      </c>
      <c r="K323" s="66">
        <v>1</v>
      </c>
      <c r="L323" s="66">
        <v>1</v>
      </c>
      <c r="M323" s="50" t="s">
        <v>52</v>
      </c>
      <c r="N323" s="50" t="str">
        <f>VLOOKUP(M323,F417:G420,2,FALSE)</f>
        <v>Midwest</v>
      </c>
    </row>
    <row r="324" spans="1:14" ht="15.75">
      <c r="A324" s="62">
        <v>1754</v>
      </c>
      <c r="B324" s="63">
        <v>37747</v>
      </c>
      <c r="C324" s="64" t="s">
        <v>18</v>
      </c>
      <c r="D324" s="97">
        <v>70507</v>
      </c>
      <c r="E324" s="80">
        <f t="shared" si="4"/>
        <v>33.897596153846152</v>
      </c>
      <c r="F324" s="68">
        <f>ROUND(YEARFRAC(B324,F9),0)</f>
        <v>12</v>
      </c>
      <c r="G324" s="73">
        <v>12</v>
      </c>
      <c r="H324" s="74">
        <v>48</v>
      </c>
      <c r="I324" s="65" t="str">
        <f>IF(F324&gt;=10,"Yes","No")</f>
        <v>Yes</v>
      </c>
      <c r="J324" s="66">
        <v>1</v>
      </c>
      <c r="K324" s="66">
        <v>1</v>
      </c>
      <c r="L324" s="66">
        <v>1</v>
      </c>
      <c r="M324" s="50" t="s">
        <v>51</v>
      </c>
      <c r="N324" s="50" t="str">
        <f>VLOOKUP(M324,F417:G420,2,FALSE)</f>
        <v>Northeast</v>
      </c>
    </row>
    <row r="325" spans="1:14" ht="15.75">
      <c r="A325" s="62">
        <v>1756</v>
      </c>
      <c r="B325" s="63">
        <v>37024</v>
      </c>
      <c r="C325" s="64" t="s">
        <v>12</v>
      </c>
      <c r="D325" s="97">
        <v>56888</v>
      </c>
      <c r="E325" s="80">
        <f t="shared" si="4"/>
        <v>27.35</v>
      </c>
      <c r="F325" s="68">
        <f>ROUND(YEARFRAC(B325,F9),0)</f>
        <v>14</v>
      </c>
      <c r="G325" s="73">
        <v>12</v>
      </c>
      <c r="H325" s="74">
        <v>50</v>
      </c>
      <c r="I325" s="65" t="str">
        <f>IF(F325&gt;=10,"Yes","No")</f>
        <v>Yes</v>
      </c>
      <c r="J325" s="66">
        <v>3</v>
      </c>
      <c r="K325" s="66">
        <v>1</v>
      </c>
      <c r="L325" s="66">
        <v>1</v>
      </c>
      <c r="M325" s="50" t="s">
        <v>51</v>
      </c>
      <c r="N325" s="50" t="str">
        <f>VLOOKUP(M325,F417:G420,2,FALSE)</f>
        <v>Northeast</v>
      </c>
    </row>
    <row r="326" spans="1:14" ht="15.75">
      <c r="A326" s="62">
        <v>1756</v>
      </c>
      <c r="B326" s="63">
        <v>39995</v>
      </c>
      <c r="C326" s="64" t="s">
        <v>32</v>
      </c>
      <c r="D326" s="97">
        <v>93478</v>
      </c>
      <c r="E326" s="80">
        <f t="shared" si="4"/>
        <v>44.941346153846155</v>
      </c>
      <c r="F326" s="68">
        <f>ROUND(YEARFRAC(B326,F9),0)</f>
        <v>6</v>
      </c>
      <c r="G326" s="73">
        <v>16</v>
      </c>
      <c r="H326" s="74">
        <v>42</v>
      </c>
      <c r="I326" s="65"/>
      <c r="J326" s="66">
        <v>3</v>
      </c>
      <c r="K326" s="66">
        <v>1</v>
      </c>
      <c r="L326" s="66">
        <v>1</v>
      </c>
      <c r="M326" s="50" t="s">
        <v>51</v>
      </c>
      <c r="N326" s="50" t="str">
        <f>VLOOKUP(M326,F417:G420,2,FALSE)</f>
        <v>Northeast</v>
      </c>
    </row>
    <row r="327" spans="1:14" ht="15.75">
      <c r="A327" s="62">
        <v>1757</v>
      </c>
      <c r="B327" s="4">
        <v>37303</v>
      </c>
      <c r="C327" s="64" t="s">
        <v>12</v>
      </c>
      <c r="D327" s="97">
        <v>55840</v>
      </c>
      <c r="E327" s="80">
        <f t="shared" si="4"/>
        <v>26.846153846153847</v>
      </c>
      <c r="F327" s="68">
        <f>ROUND(YEARFRAC(B327,F9),0)</f>
        <v>13</v>
      </c>
      <c r="G327" s="73">
        <v>12</v>
      </c>
      <c r="H327" s="74">
        <v>49</v>
      </c>
      <c r="I327" s="65" t="str">
        <f>IF(F327&gt;=10,"Yes","No")</f>
        <v>Yes</v>
      </c>
      <c r="J327" s="66">
        <v>3</v>
      </c>
      <c r="K327" s="66">
        <v>1</v>
      </c>
      <c r="L327" s="66">
        <v>1</v>
      </c>
      <c r="M327" s="50" t="s">
        <v>51</v>
      </c>
      <c r="N327" s="50" t="str">
        <f>VLOOKUP(M327,F417:G420,2,FALSE)</f>
        <v>Northeast</v>
      </c>
    </row>
    <row r="328" spans="1:14" ht="15.75">
      <c r="A328" s="62">
        <v>1760</v>
      </c>
      <c r="B328" s="63">
        <v>40578</v>
      </c>
      <c r="C328" s="64" t="s">
        <v>15</v>
      </c>
      <c r="D328" s="97">
        <v>60348</v>
      </c>
      <c r="E328" s="80">
        <f t="shared" si="4"/>
        <v>29.013461538461538</v>
      </c>
      <c r="F328" s="68">
        <f>ROUND(YEARFRAC(B328,F9),0)</f>
        <v>4</v>
      </c>
      <c r="G328" s="73">
        <v>16</v>
      </c>
      <c r="H328" s="74">
        <v>28</v>
      </c>
      <c r="I328" s="65"/>
      <c r="J328" s="66">
        <v>2</v>
      </c>
      <c r="K328" s="66">
        <v>1</v>
      </c>
      <c r="L328" s="66">
        <v>2</v>
      </c>
      <c r="M328" s="50" t="s">
        <v>51</v>
      </c>
      <c r="N328" s="50" t="str">
        <f>VLOOKUP(M328,F417:G420,2,FALSE)</f>
        <v>Northeast</v>
      </c>
    </row>
    <row r="329" spans="1:14" ht="15.75">
      <c r="A329" s="62">
        <v>1760</v>
      </c>
      <c r="B329" s="63">
        <v>41167</v>
      </c>
      <c r="C329" s="64" t="s">
        <v>12</v>
      </c>
      <c r="D329" s="97">
        <v>31049</v>
      </c>
      <c r="E329" s="80">
        <f t="shared" si="4"/>
        <v>14.927403846153846</v>
      </c>
      <c r="F329" s="68">
        <f>ROUND(YEARFRAC(B329,F9),0)</f>
        <v>2</v>
      </c>
      <c r="G329" s="73">
        <v>12</v>
      </c>
      <c r="H329" s="74">
        <v>22</v>
      </c>
      <c r="I329" s="65"/>
      <c r="J329" s="66">
        <v>3</v>
      </c>
      <c r="K329" s="66">
        <v>1</v>
      </c>
      <c r="L329" s="66">
        <v>2</v>
      </c>
      <c r="M329" s="50" t="s">
        <v>52</v>
      </c>
      <c r="N329" s="50" t="str">
        <f>VLOOKUP(M329,F417:G420,2,FALSE)</f>
        <v>Midwest</v>
      </c>
    </row>
    <row r="330" spans="1:14" ht="15.75">
      <c r="A330" s="62">
        <v>1764</v>
      </c>
      <c r="B330" s="4">
        <v>37059</v>
      </c>
      <c r="C330" s="64" t="s">
        <v>12</v>
      </c>
      <c r="D330" s="97">
        <v>57530</v>
      </c>
      <c r="E330" s="80">
        <f t="shared" si="4"/>
        <v>27.658653846153847</v>
      </c>
      <c r="F330" s="68">
        <f>ROUND(YEARFRAC(B330,F9),0)</f>
        <v>14</v>
      </c>
      <c r="G330" s="73">
        <v>12</v>
      </c>
      <c r="H330" s="74">
        <v>50</v>
      </c>
      <c r="I330" s="65" t="str">
        <f>IF(F330&gt;=10,"Yes","No")</f>
        <v>Yes</v>
      </c>
      <c r="J330" s="66">
        <v>3</v>
      </c>
      <c r="K330" s="66">
        <v>1</v>
      </c>
      <c r="L330" s="66">
        <v>2</v>
      </c>
      <c r="M330" s="50" t="s">
        <v>52</v>
      </c>
      <c r="N330" s="50" t="str">
        <f>VLOOKUP(M330,F417:G420,2,FALSE)</f>
        <v>Midwest</v>
      </c>
    </row>
    <row r="331" spans="1:14" ht="15.75">
      <c r="A331" s="62">
        <v>1767</v>
      </c>
      <c r="B331" s="63">
        <v>38492</v>
      </c>
      <c r="C331" s="64" t="s">
        <v>12</v>
      </c>
      <c r="D331" s="97">
        <v>51360</v>
      </c>
      <c r="E331" s="80">
        <f t="shared" si="4"/>
        <v>24.692307692307693</v>
      </c>
      <c r="F331" s="68">
        <f>ROUND(YEARFRAC(B331,F9),0)</f>
        <v>10</v>
      </c>
      <c r="G331" s="73">
        <v>12</v>
      </c>
      <c r="H331" s="74">
        <v>44</v>
      </c>
      <c r="I331" s="65"/>
      <c r="J331" s="66">
        <v>3</v>
      </c>
      <c r="K331" s="66">
        <v>1</v>
      </c>
      <c r="L331" s="66">
        <v>1</v>
      </c>
      <c r="M331" s="50" t="s">
        <v>52</v>
      </c>
      <c r="N331" s="50" t="str">
        <f>VLOOKUP(M331,F418:G421,2,FALSE)</f>
        <v>Midwest</v>
      </c>
    </row>
    <row r="332" spans="1:14" ht="15.75">
      <c r="A332" s="62">
        <v>1770</v>
      </c>
      <c r="B332" s="63">
        <v>38052</v>
      </c>
      <c r="C332" s="64" t="s">
        <v>64</v>
      </c>
      <c r="D332" s="97">
        <v>86972</v>
      </c>
      <c r="E332" s="80">
        <f t="shared" ref="E332:E382" si="5">D332/Annual_Hrs</f>
        <v>41.813461538461539</v>
      </c>
      <c r="F332" s="68">
        <f>ROUND(YEARFRAC(B332,F9),0)</f>
        <v>11</v>
      </c>
      <c r="G332" s="73">
        <v>16</v>
      </c>
      <c r="H332" s="74">
        <v>48</v>
      </c>
      <c r="I332" s="65" t="str">
        <f>IF(F332&gt;=10,"Yes","No")</f>
        <v>Yes</v>
      </c>
      <c r="J332" s="66">
        <v>3</v>
      </c>
      <c r="K332" s="66">
        <v>1</v>
      </c>
      <c r="L332" s="66">
        <v>1</v>
      </c>
      <c r="M332" s="50" t="s">
        <v>48</v>
      </c>
      <c r="N332" s="50" t="str">
        <f>VLOOKUP(M332,F419:G422,2,FALSE)</f>
        <v>C-Plains</v>
      </c>
    </row>
    <row r="333" spans="1:14" ht="15.75">
      <c r="A333" s="62">
        <v>1771</v>
      </c>
      <c r="B333" s="63">
        <v>38425</v>
      </c>
      <c r="C333" s="64" t="s">
        <v>12</v>
      </c>
      <c r="D333" s="97">
        <v>51899</v>
      </c>
      <c r="E333" s="80">
        <f t="shared" si="5"/>
        <v>24.951442307692307</v>
      </c>
      <c r="F333" s="68">
        <f>ROUND(YEARFRAC(B333,F9),0)</f>
        <v>10</v>
      </c>
      <c r="G333" s="73">
        <v>12</v>
      </c>
      <c r="H333" s="74">
        <v>44</v>
      </c>
      <c r="I333" s="65"/>
      <c r="J333" s="66">
        <v>3</v>
      </c>
      <c r="K333" s="66">
        <v>1</v>
      </c>
      <c r="L333" s="66">
        <v>1</v>
      </c>
      <c r="M333" s="50" t="s">
        <v>51</v>
      </c>
      <c r="N333" s="50" t="str">
        <f>VLOOKUP(M333,F417:G420,2,FALSE)</f>
        <v>Northeast</v>
      </c>
    </row>
    <row r="334" spans="1:14" ht="15.75">
      <c r="A334" s="62">
        <v>1773</v>
      </c>
      <c r="B334" s="63">
        <v>38510</v>
      </c>
      <c r="C334" s="64" t="s">
        <v>17</v>
      </c>
      <c r="D334" s="97">
        <v>60999</v>
      </c>
      <c r="E334" s="80">
        <f t="shared" si="5"/>
        <v>29.326442307692307</v>
      </c>
      <c r="F334" s="68">
        <f>ROUND(YEARFRAC(B334,F9),0)</f>
        <v>10</v>
      </c>
      <c r="G334" s="73">
        <v>16</v>
      </c>
      <c r="H334" s="74">
        <v>42</v>
      </c>
      <c r="I334" s="65"/>
      <c r="J334" s="66">
        <v>3</v>
      </c>
      <c r="K334" s="66">
        <v>1</v>
      </c>
      <c r="L334" s="66">
        <v>2</v>
      </c>
      <c r="M334" s="50" t="s">
        <v>51</v>
      </c>
      <c r="N334" s="50" t="str">
        <f>VLOOKUP(M334,F417:G420,2,FALSE)</f>
        <v>Northeast</v>
      </c>
    </row>
    <row r="335" spans="1:14" ht="15.75">
      <c r="A335" s="62">
        <v>1774</v>
      </c>
      <c r="B335" s="63">
        <v>41572</v>
      </c>
      <c r="C335" s="64" t="s">
        <v>19</v>
      </c>
      <c r="D335" s="97">
        <v>68455</v>
      </c>
      <c r="E335" s="80">
        <f t="shared" si="5"/>
        <v>32.911057692307693</v>
      </c>
      <c r="F335" s="68">
        <f>ROUND(YEARFRAC(B335,F9),0)</f>
        <v>1</v>
      </c>
      <c r="G335" s="73">
        <v>16</v>
      </c>
      <c r="H335" s="74">
        <v>33</v>
      </c>
      <c r="I335" s="65"/>
      <c r="J335" s="66">
        <v>3</v>
      </c>
      <c r="K335" s="66">
        <v>2</v>
      </c>
      <c r="L335" s="66">
        <v>1</v>
      </c>
      <c r="M335" s="50" t="s">
        <v>48</v>
      </c>
      <c r="N335" s="50" t="str">
        <f>VLOOKUP(M335,F417:G420,2,FALSE)</f>
        <v>C-Plains</v>
      </c>
    </row>
    <row r="336" spans="1:14" ht="15.75">
      <c r="A336" s="62">
        <v>1776</v>
      </c>
      <c r="B336" s="63">
        <v>40130</v>
      </c>
      <c r="C336" s="64" t="s">
        <v>15</v>
      </c>
      <c r="D336" s="97">
        <v>61441</v>
      </c>
      <c r="E336" s="80">
        <f t="shared" si="5"/>
        <v>29.538942307692309</v>
      </c>
      <c r="F336" s="68">
        <f>ROUND(YEARFRAC(B336,F9),0)</f>
        <v>5</v>
      </c>
      <c r="G336" s="73">
        <v>16</v>
      </c>
      <c r="H336" s="74">
        <v>30</v>
      </c>
      <c r="I336" s="65"/>
      <c r="J336" s="66">
        <v>3</v>
      </c>
      <c r="K336" s="66">
        <v>2</v>
      </c>
      <c r="L336" s="66">
        <v>2</v>
      </c>
      <c r="M336" s="50" t="s">
        <v>52</v>
      </c>
      <c r="N336" s="50" t="str">
        <f>VLOOKUP(M336,F417:G420,2,FALSE)</f>
        <v>Midwest</v>
      </c>
    </row>
    <row r="337" spans="1:14" ht="15.75">
      <c r="A337" s="62">
        <v>1776</v>
      </c>
      <c r="B337" s="63">
        <v>36234</v>
      </c>
      <c r="C337" s="64" t="s">
        <v>12</v>
      </c>
      <c r="D337" s="97">
        <v>60198</v>
      </c>
      <c r="E337" s="80">
        <f t="shared" si="5"/>
        <v>28.941346153846155</v>
      </c>
      <c r="F337" s="68">
        <f>ROUND(YEARFRAC(B337,F9),0)</f>
        <v>16</v>
      </c>
      <c r="G337" s="73">
        <v>12</v>
      </c>
      <c r="H337" s="74">
        <v>54</v>
      </c>
      <c r="I337" s="65" t="str">
        <f>IF(F337&gt;=10,"Yes","No")</f>
        <v>Yes</v>
      </c>
      <c r="J337" s="66">
        <v>3</v>
      </c>
      <c r="K337" s="66">
        <v>1</v>
      </c>
      <c r="L337" s="66">
        <v>1</v>
      </c>
      <c r="M337" s="50" t="s">
        <v>51</v>
      </c>
      <c r="N337" s="50" t="str">
        <f>VLOOKUP(M337,F417:G420,2,FALSE)</f>
        <v>Northeast</v>
      </c>
    </row>
    <row r="338" spans="1:14" ht="15.75">
      <c r="A338" s="62">
        <v>1779</v>
      </c>
      <c r="B338" s="63">
        <v>40428</v>
      </c>
      <c r="C338" s="64" t="s">
        <v>12</v>
      </c>
      <c r="D338" s="97">
        <v>33631</v>
      </c>
      <c r="E338" s="80">
        <f t="shared" si="5"/>
        <v>16.168749999999999</v>
      </c>
      <c r="F338" s="68">
        <f>ROUND(YEARFRAC(B338,F9),0)</f>
        <v>4</v>
      </c>
      <c r="G338" s="73">
        <v>12</v>
      </c>
      <c r="H338" s="74">
        <v>28</v>
      </c>
      <c r="I338" s="65"/>
      <c r="J338" s="66">
        <v>3</v>
      </c>
      <c r="K338" s="66">
        <v>1</v>
      </c>
      <c r="L338" s="66">
        <v>1</v>
      </c>
      <c r="M338" s="50" t="s">
        <v>48</v>
      </c>
      <c r="N338" s="50" t="str">
        <f>VLOOKUP(M338,F417:G420,2,FALSE)</f>
        <v>C-Plains</v>
      </c>
    </row>
    <row r="339" spans="1:14" ht="15.75">
      <c r="A339" s="62">
        <v>1779</v>
      </c>
      <c r="B339" s="63">
        <v>38504</v>
      </c>
      <c r="C339" s="64" t="s">
        <v>12</v>
      </c>
      <c r="D339" s="97">
        <v>51084</v>
      </c>
      <c r="E339" s="80">
        <f t="shared" si="5"/>
        <v>24.559615384615384</v>
      </c>
      <c r="F339" s="68">
        <f>ROUND(YEARFRAC(B339,F9),0)</f>
        <v>10</v>
      </c>
      <c r="G339" s="73">
        <v>12</v>
      </c>
      <c r="H339" s="74">
        <v>43</v>
      </c>
      <c r="I339" s="65"/>
      <c r="J339" s="66">
        <v>3</v>
      </c>
      <c r="K339" s="66">
        <v>1</v>
      </c>
      <c r="L339" s="66">
        <v>1</v>
      </c>
      <c r="M339" s="50" t="s">
        <v>52</v>
      </c>
      <c r="N339" s="50" t="str">
        <f>VLOOKUP(M339,F417:G420,2,FALSE)</f>
        <v>Midwest</v>
      </c>
    </row>
    <row r="340" spans="1:14" ht="15.75">
      <c r="A340" s="62">
        <v>1782</v>
      </c>
      <c r="B340" s="63">
        <v>38050</v>
      </c>
      <c r="C340" s="64" t="s">
        <v>12</v>
      </c>
      <c r="D340" s="97">
        <v>53903</v>
      </c>
      <c r="E340" s="80">
        <f t="shared" si="5"/>
        <v>25.914903846153845</v>
      </c>
      <c r="F340" s="68">
        <f>ROUND(YEARFRAC(B340,F9),0)</f>
        <v>11</v>
      </c>
      <c r="G340" s="73">
        <v>12</v>
      </c>
      <c r="H340" s="74">
        <v>46</v>
      </c>
      <c r="I340" s="65" t="str">
        <f>IF(F340&gt;=10,"Yes","No")</f>
        <v>Yes</v>
      </c>
      <c r="J340" s="66">
        <v>1</v>
      </c>
      <c r="K340" s="66">
        <v>1</v>
      </c>
      <c r="L340" s="66">
        <v>1</v>
      </c>
      <c r="M340" s="50" t="s">
        <v>48</v>
      </c>
      <c r="N340" s="50" t="str">
        <f>VLOOKUP(M340,F417:G420,2,FALSE)</f>
        <v>C-Plains</v>
      </c>
    </row>
    <row r="341" spans="1:14" ht="15.75">
      <c r="A341" s="62">
        <v>1785</v>
      </c>
      <c r="B341" s="63">
        <v>38904</v>
      </c>
      <c r="C341" s="64" t="s">
        <v>64</v>
      </c>
      <c r="D341" s="97">
        <v>86972</v>
      </c>
      <c r="E341" s="80">
        <f t="shared" si="5"/>
        <v>41.813461538461539</v>
      </c>
      <c r="F341" s="68">
        <f>ROUND(YEARFRAC(B341,F9),0)</f>
        <v>8</v>
      </c>
      <c r="G341" s="73">
        <v>16</v>
      </c>
      <c r="H341" s="74">
        <v>50</v>
      </c>
      <c r="I341" s="65"/>
      <c r="J341" s="66">
        <v>3</v>
      </c>
      <c r="K341" s="66">
        <v>1</v>
      </c>
      <c r="L341" s="66">
        <v>1</v>
      </c>
      <c r="M341" s="50" t="s">
        <v>52</v>
      </c>
      <c r="N341" s="50" t="str">
        <f>VLOOKUP(M341,F417:G420,2,FALSE)</f>
        <v>Midwest</v>
      </c>
    </row>
    <row r="342" spans="1:14" ht="15.75">
      <c r="A342" s="62">
        <v>1785</v>
      </c>
      <c r="B342" s="63">
        <v>40077</v>
      </c>
      <c r="C342" s="64" t="s">
        <v>13</v>
      </c>
      <c r="D342" s="97">
        <v>26096</v>
      </c>
      <c r="E342" s="80">
        <f t="shared" si="5"/>
        <v>12.546153846153846</v>
      </c>
      <c r="F342" s="68">
        <f>ROUND(YEARFRAC(B342,F9),0)</f>
        <v>5</v>
      </c>
      <c r="G342" s="73">
        <v>14</v>
      </c>
      <c r="H342" s="74">
        <v>25</v>
      </c>
      <c r="I342" s="65"/>
      <c r="J342" s="66">
        <v>4</v>
      </c>
      <c r="K342" s="66">
        <v>1</v>
      </c>
      <c r="L342" s="66">
        <v>2</v>
      </c>
      <c r="M342" s="50" t="s">
        <v>52</v>
      </c>
      <c r="N342" s="50" t="str">
        <f>VLOOKUP(M342,F417:G420,2,FALSE)</f>
        <v>Midwest</v>
      </c>
    </row>
    <row r="343" spans="1:14" ht="15.75">
      <c r="A343" s="62">
        <v>1785</v>
      </c>
      <c r="B343" s="63">
        <v>40217</v>
      </c>
      <c r="C343" s="64" t="s">
        <v>20</v>
      </c>
      <c r="D343" s="97">
        <v>42456</v>
      </c>
      <c r="E343" s="80">
        <f t="shared" si="5"/>
        <v>20.411538461538463</v>
      </c>
      <c r="F343" s="68">
        <f>ROUND(YEARFRAC(B343,F9),0)</f>
        <v>5</v>
      </c>
      <c r="G343" s="73">
        <v>12</v>
      </c>
      <c r="H343" s="74">
        <v>32</v>
      </c>
      <c r="I343" s="65"/>
      <c r="J343" s="66">
        <v>3</v>
      </c>
      <c r="K343" s="66">
        <v>2</v>
      </c>
      <c r="L343" s="66">
        <v>1</v>
      </c>
      <c r="M343" s="50" t="s">
        <v>51</v>
      </c>
      <c r="N343" s="50" t="str">
        <f>VLOOKUP(M343,F417:G420,2,FALSE)</f>
        <v>Northeast</v>
      </c>
    </row>
    <row r="344" spans="1:14" ht="15.75">
      <c r="A344" s="62">
        <v>1787</v>
      </c>
      <c r="B344" s="63">
        <v>39284</v>
      </c>
      <c r="C344" s="64" t="s">
        <v>27</v>
      </c>
      <c r="D344" s="97">
        <v>66261</v>
      </c>
      <c r="E344" s="80">
        <f t="shared" si="5"/>
        <v>31.856249999999999</v>
      </c>
      <c r="F344" s="68">
        <f>ROUND(YEARFRAC(B344,F9),0)</f>
        <v>7</v>
      </c>
      <c r="G344" s="73">
        <v>16</v>
      </c>
      <c r="H344" s="74">
        <v>45</v>
      </c>
      <c r="I344" s="65"/>
      <c r="J344" s="66">
        <v>3</v>
      </c>
      <c r="K344" s="66">
        <v>1</v>
      </c>
      <c r="L344" s="66">
        <v>1</v>
      </c>
      <c r="M344" s="50" t="s">
        <v>52</v>
      </c>
      <c r="N344" s="50" t="str">
        <f>VLOOKUP(M344,F417:G420,2,FALSE)</f>
        <v>Midwest</v>
      </c>
    </row>
    <row r="345" spans="1:14" ht="15.75">
      <c r="A345" s="62">
        <v>1789</v>
      </c>
      <c r="B345" s="63">
        <v>39714</v>
      </c>
      <c r="C345" s="64" t="s">
        <v>12</v>
      </c>
      <c r="D345" s="97">
        <v>42802</v>
      </c>
      <c r="E345" s="80">
        <f t="shared" si="5"/>
        <v>20.577884615384615</v>
      </c>
      <c r="F345" s="68">
        <f>ROUND(YEARFRAC(B345,F9),0)</f>
        <v>6</v>
      </c>
      <c r="G345" s="73">
        <v>12</v>
      </c>
      <c r="H345" s="74">
        <v>35</v>
      </c>
      <c r="I345" s="65"/>
      <c r="J345" s="66">
        <v>3</v>
      </c>
      <c r="K345" s="66">
        <v>1</v>
      </c>
      <c r="L345" s="66">
        <v>1</v>
      </c>
      <c r="M345" s="50" t="s">
        <v>51</v>
      </c>
      <c r="N345" s="50" t="str">
        <f>VLOOKUP(M345,F417:G420,2,FALSE)</f>
        <v>Northeast</v>
      </c>
    </row>
    <row r="346" spans="1:14" ht="15.75">
      <c r="A346" s="62">
        <v>1793</v>
      </c>
      <c r="B346" s="63">
        <v>36234</v>
      </c>
      <c r="C346" s="64" t="s">
        <v>15</v>
      </c>
      <c r="D346" s="97">
        <v>81077</v>
      </c>
      <c r="E346" s="80">
        <f t="shared" si="5"/>
        <v>38.979326923076925</v>
      </c>
      <c r="F346" s="68">
        <f>ROUND(YEARFRAC(B346,F9),0)</f>
        <v>16</v>
      </c>
      <c r="G346" s="73">
        <v>19</v>
      </c>
      <c r="H346" s="74">
        <v>54</v>
      </c>
      <c r="I346" s="65" t="str">
        <f>IF(F346&gt;=10,"Yes","No")</f>
        <v>Yes</v>
      </c>
      <c r="J346" s="66">
        <v>1</v>
      </c>
      <c r="K346" s="66">
        <v>1</v>
      </c>
      <c r="L346" s="66">
        <v>1</v>
      </c>
      <c r="M346" s="50" t="s">
        <v>52</v>
      </c>
      <c r="N346" s="50" t="str">
        <f>VLOOKUP(M346,F417:G420,2,FALSE)</f>
        <v>Midwest</v>
      </c>
    </row>
    <row r="347" spans="1:14" ht="15.75">
      <c r="A347" s="62">
        <v>1793</v>
      </c>
      <c r="B347" s="63">
        <v>39332</v>
      </c>
      <c r="C347" s="64" t="s">
        <v>20</v>
      </c>
      <c r="D347" s="97">
        <v>50788</v>
      </c>
      <c r="E347" s="80">
        <f t="shared" si="5"/>
        <v>24.417307692307691</v>
      </c>
      <c r="F347" s="68">
        <f>ROUND(YEARFRAC(B347,F9),0)</f>
        <v>7</v>
      </c>
      <c r="G347" s="73">
        <v>14</v>
      </c>
      <c r="H347" s="74">
        <v>40</v>
      </c>
      <c r="I347" s="65"/>
      <c r="J347" s="66">
        <v>3</v>
      </c>
      <c r="K347" s="66">
        <v>2</v>
      </c>
      <c r="L347" s="66">
        <v>1</v>
      </c>
      <c r="M347" s="50" t="s">
        <v>52</v>
      </c>
      <c r="N347" s="50" t="str">
        <f>VLOOKUP(M347,F417:G420,2,FALSE)</f>
        <v>Midwest</v>
      </c>
    </row>
    <row r="348" spans="1:14" ht="15.75">
      <c r="A348" s="62">
        <v>1793</v>
      </c>
      <c r="B348" s="63">
        <v>39699</v>
      </c>
      <c r="C348" s="64" t="s">
        <v>33</v>
      </c>
      <c r="D348" s="97">
        <v>90822</v>
      </c>
      <c r="E348" s="80">
        <f t="shared" si="5"/>
        <v>43.664423076923079</v>
      </c>
      <c r="F348" s="68">
        <f>ROUND(YEARFRAC(B348,F9),0)</f>
        <v>6</v>
      </c>
      <c r="G348" s="73">
        <v>19</v>
      </c>
      <c r="H348" s="74">
        <v>50</v>
      </c>
      <c r="I348" s="65"/>
      <c r="J348" s="66">
        <v>3</v>
      </c>
      <c r="K348" s="66">
        <v>1</v>
      </c>
      <c r="L348" s="66">
        <v>2</v>
      </c>
      <c r="M348" s="50" t="s">
        <v>52</v>
      </c>
      <c r="N348" s="50" t="str">
        <f>VLOOKUP(M348,F418:G421,2,FALSE)</f>
        <v>Midwest</v>
      </c>
    </row>
    <row r="349" spans="1:14" ht="15.75">
      <c r="A349" s="62">
        <v>1794</v>
      </c>
      <c r="B349" s="63">
        <v>41653</v>
      </c>
      <c r="C349" s="64" t="s">
        <v>64</v>
      </c>
      <c r="D349" s="97">
        <v>60323</v>
      </c>
      <c r="E349" s="80">
        <f t="shared" si="5"/>
        <v>29.001442307692308</v>
      </c>
      <c r="F349" s="68">
        <f>ROUND(YEARFRAC(B349,F9),0)</f>
        <v>1</v>
      </c>
      <c r="G349" s="73">
        <v>16</v>
      </c>
      <c r="H349" s="74">
        <v>24</v>
      </c>
      <c r="I349" s="65"/>
      <c r="J349" s="66">
        <v>3</v>
      </c>
      <c r="K349" s="66">
        <v>1</v>
      </c>
      <c r="L349" s="66">
        <v>2</v>
      </c>
      <c r="M349" s="50" t="s">
        <v>51</v>
      </c>
      <c r="N349" s="50" t="str">
        <f>VLOOKUP(M349,F417:G420,2,FALSE)</f>
        <v>Northeast</v>
      </c>
    </row>
    <row r="350" spans="1:14" ht="15.75">
      <c r="A350" s="62">
        <v>1796</v>
      </c>
      <c r="B350" s="63">
        <v>40251</v>
      </c>
      <c r="C350" s="64" t="s">
        <v>25</v>
      </c>
      <c r="D350" s="97">
        <v>101275</v>
      </c>
      <c r="E350" s="80">
        <f t="shared" si="5"/>
        <v>48.689903846153847</v>
      </c>
      <c r="F350" s="68">
        <f>ROUND(YEARFRAC(B350,F9),0)</f>
        <v>5</v>
      </c>
      <c r="G350" s="73">
        <v>19</v>
      </c>
      <c r="H350" s="74">
        <v>43</v>
      </c>
      <c r="I350" s="65"/>
      <c r="J350" s="66">
        <v>3</v>
      </c>
      <c r="K350" s="66">
        <v>1</v>
      </c>
      <c r="L350" s="66">
        <v>1</v>
      </c>
      <c r="M350" s="50" t="s">
        <v>51</v>
      </c>
      <c r="N350" s="50" t="str">
        <f>VLOOKUP(M350,F417:G420,2,FALSE)</f>
        <v>Northeast</v>
      </c>
    </row>
    <row r="351" spans="1:14" ht="15.75">
      <c r="A351" s="62">
        <v>1797</v>
      </c>
      <c r="B351" s="63">
        <v>37660</v>
      </c>
      <c r="C351" s="64" t="s">
        <v>18</v>
      </c>
      <c r="D351" s="97">
        <v>70084</v>
      </c>
      <c r="E351" s="80">
        <f t="shared" si="5"/>
        <v>33.694230769230771</v>
      </c>
      <c r="F351" s="68">
        <f>ROUND(YEARFRAC(B351,F9),0)</f>
        <v>12</v>
      </c>
      <c r="G351" s="73">
        <v>12</v>
      </c>
      <c r="H351" s="74">
        <v>44</v>
      </c>
      <c r="I351" s="65" t="str">
        <f>IF(F351&gt;=10,"Yes","No")</f>
        <v>Yes</v>
      </c>
      <c r="J351" s="66">
        <v>2</v>
      </c>
      <c r="K351" s="66">
        <v>1</v>
      </c>
      <c r="L351" s="66">
        <v>1</v>
      </c>
      <c r="M351" s="50" t="s">
        <v>48</v>
      </c>
      <c r="N351" s="50" t="str">
        <f>VLOOKUP(M351,F417:G420,2,FALSE)</f>
        <v>C-Plains</v>
      </c>
    </row>
    <row r="352" spans="1:14" ht="15.75">
      <c r="A352" s="62">
        <v>1800</v>
      </c>
      <c r="B352" s="63">
        <v>39947</v>
      </c>
      <c r="C352" s="64" t="s">
        <v>12</v>
      </c>
      <c r="D352" s="97">
        <v>36918</v>
      </c>
      <c r="E352" s="80">
        <f t="shared" si="5"/>
        <v>17.749038461538461</v>
      </c>
      <c r="F352" s="68">
        <f>ROUND(YEARFRAC(B352,F9),0)</f>
        <v>6</v>
      </c>
      <c r="G352" s="73">
        <v>12</v>
      </c>
      <c r="H352" s="74">
        <v>32</v>
      </c>
      <c r="I352" s="65"/>
      <c r="J352" s="66">
        <v>1</v>
      </c>
      <c r="K352" s="66">
        <v>1</v>
      </c>
      <c r="L352" s="66">
        <v>1</v>
      </c>
      <c r="M352" s="50" t="s">
        <v>51</v>
      </c>
      <c r="N352" s="50" t="str">
        <f>VLOOKUP(M352,F417:G420,2,FALSE)</f>
        <v>Northeast</v>
      </c>
    </row>
    <row r="353" spans="1:14" ht="15.75">
      <c r="A353" s="62">
        <v>1800</v>
      </c>
      <c r="B353" s="63">
        <v>36234</v>
      </c>
      <c r="C353" s="64" t="s">
        <v>12</v>
      </c>
      <c r="D353" s="97">
        <v>59647</v>
      </c>
      <c r="E353" s="80">
        <f t="shared" si="5"/>
        <v>28.676442307692309</v>
      </c>
      <c r="F353" s="68">
        <f>ROUND(YEARFRAC(B353,F9),0)</f>
        <v>16</v>
      </c>
      <c r="G353" s="73">
        <v>14</v>
      </c>
      <c r="H353" s="74">
        <v>54</v>
      </c>
      <c r="I353" s="65" t="str">
        <f>IF(F353&gt;=10,"Yes","No")</f>
        <v>Yes</v>
      </c>
      <c r="J353" s="66">
        <v>3</v>
      </c>
      <c r="K353" s="66">
        <v>1</v>
      </c>
      <c r="L353" s="66">
        <v>1</v>
      </c>
      <c r="M353" s="50" t="s">
        <v>51</v>
      </c>
      <c r="N353" s="50" t="str">
        <f>VLOOKUP(M353,F417:G420,2,FALSE)</f>
        <v>Northeast</v>
      </c>
    </row>
    <row r="354" spans="1:14" ht="15.75">
      <c r="A354" s="62">
        <v>1802</v>
      </c>
      <c r="B354" s="4">
        <v>39599</v>
      </c>
      <c r="C354" s="64" t="s">
        <v>12</v>
      </c>
      <c r="D354" s="97">
        <v>43498</v>
      </c>
      <c r="E354" s="80">
        <f t="shared" si="5"/>
        <v>20.912500000000001</v>
      </c>
      <c r="F354" s="68">
        <f>ROUND(YEARFRAC(B354,F9),0)</f>
        <v>7</v>
      </c>
      <c r="G354" s="73">
        <v>12</v>
      </c>
      <c r="H354" s="74">
        <v>35</v>
      </c>
      <c r="I354" s="65"/>
      <c r="J354" s="66">
        <v>4</v>
      </c>
      <c r="K354" s="66">
        <v>1</v>
      </c>
      <c r="L354" s="66">
        <v>1</v>
      </c>
      <c r="M354" s="50" t="s">
        <v>48</v>
      </c>
      <c r="N354" s="50" t="str">
        <f>VLOOKUP(M354,F417:G420,2,FALSE)</f>
        <v>C-Plains</v>
      </c>
    </row>
    <row r="355" spans="1:14" ht="15.75">
      <c r="A355" s="62">
        <v>1803</v>
      </c>
      <c r="B355" s="63">
        <v>36799</v>
      </c>
      <c r="C355" s="64" t="s">
        <v>26</v>
      </c>
      <c r="D355" s="97">
        <v>81282</v>
      </c>
      <c r="E355" s="80">
        <f t="shared" si="5"/>
        <v>39.077884615384619</v>
      </c>
      <c r="F355" s="68">
        <f>ROUND(YEARFRAC(B355,F9),0)</f>
        <v>14</v>
      </c>
      <c r="G355" s="73">
        <v>16</v>
      </c>
      <c r="H355" s="74">
        <v>45</v>
      </c>
      <c r="I355" s="65" t="str">
        <f>IF(F355&gt;=10,"Yes","No")</f>
        <v>Yes</v>
      </c>
      <c r="J355" s="66">
        <v>3</v>
      </c>
      <c r="K355" s="66">
        <v>1</v>
      </c>
      <c r="L355" s="66">
        <v>1</v>
      </c>
      <c r="M355" s="50" t="s">
        <v>51</v>
      </c>
      <c r="N355" s="50" t="str">
        <f>VLOOKUP(M355,F417:G420,2,FALSE)</f>
        <v>Northeast</v>
      </c>
    </row>
    <row r="356" spans="1:14" ht="15.75">
      <c r="A356" s="62">
        <v>1804</v>
      </c>
      <c r="B356" s="63">
        <v>40044</v>
      </c>
      <c r="C356" s="64" t="s">
        <v>30</v>
      </c>
      <c r="D356" s="97">
        <v>64510</v>
      </c>
      <c r="E356" s="80">
        <f t="shared" si="5"/>
        <v>31.014423076923077</v>
      </c>
      <c r="F356" s="68">
        <f>ROUND(YEARFRAC(B356,F9),0)</f>
        <v>5</v>
      </c>
      <c r="G356" s="73">
        <v>16</v>
      </c>
      <c r="H356" s="74">
        <v>46</v>
      </c>
      <c r="I356" s="65"/>
      <c r="J356" s="66">
        <v>1</v>
      </c>
      <c r="K356" s="66">
        <v>2</v>
      </c>
      <c r="L356" s="66">
        <v>1</v>
      </c>
      <c r="M356" s="50" t="s">
        <v>51</v>
      </c>
      <c r="N356" s="50" t="str">
        <f>VLOOKUP(M356,F417:G420,2,FALSE)</f>
        <v>Northeast</v>
      </c>
    </row>
    <row r="357" spans="1:14" ht="15.75">
      <c r="A357" s="62">
        <v>1809</v>
      </c>
      <c r="B357" s="4">
        <v>37180</v>
      </c>
      <c r="C357" s="64" t="s">
        <v>12</v>
      </c>
      <c r="D357" s="97">
        <v>56946</v>
      </c>
      <c r="E357" s="80">
        <f t="shared" si="5"/>
        <v>27.377884615384616</v>
      </c>
      <c r="F357" s="68">
        <f>ROUND(YEARFRAC(B357,F9),0)</f>
        <v>13</v>
      </c>
      <c r="G357" s="73">
        <v>12</v>
      </c>
      <c r="H357" s="74">
        <v>50</v>
      </c>
      <c r="I357" s="65" t="str">
        <f>IF(F357&gt;=10,"Yes","No")</f>
        <v>Yes</v>
      </c>
      <c r="J357" s="66">
        <v>1</v>
      </c>
      <c r="K357" s="66">
        <v>1</v>
      </c>
      <c r="L357" s="66">
        <v>1</v>
      </c>
      <c r="M357" s="50" t="s">
        <v>48</v>
      </c>
      <c r="N357" s="50" t="str">
        <f>VLOOKUP(M357,F417:G420,2,FALSE)</f>
        <v>C-Plains</v>
      </c>
    </row>
    <row r="358" spans="1:14" ht="15.75">
      <c r="A358" s="62">
        <v>1812</v>
      </c>
      <c r="B358" s="63">
        <v>38448</v>
      </c>
      <c r="C358" s="64" t="s">
        <v>13</v>
      </c>
      <c r="D358" s="97">
        <v>27781</v>
      </c>
      <c r="E358" s="80">
        <f t="shared" si="5"/>
        <v>13.356249999999999</v>
      </c>
      <c r="F358" s="68">
        <f>ROUND(YEARFRAC(B358,F9),0)</f>
        <v>10</v>
      </c>
      <c r="G358" s="73">
        <v>12</v>
      </c>
      <c r="H358" s="74">
        <v>30</v>
      </c>
      <c r="I358" s="65"/>
      <c r="J358" s="66">
        <v>1</v>
      </c>
      <c r="K358" s="66">
        <v>1</v>
      </c>
      <c r="L358" s="66">
        <v>1</v>
      </c>
      <c r="M358" s="50" t="s">
        <v>51</v>
      </c>
      <c r="N358" s="50" t="str">
        <f>VLOOKUP(M358,F417:G420,2,FALSE)</f>
        <v>Northeast</v>
      </c>
    </row>
    <row r="359" spans="1:14" ht="15.75">
      <c r="A359" s="62">
        <v>1813</v>
      </c>
      <c r="B359" s="63">
        <v>37636</v>
      </c>
      <c r="C359" s="64" t="s">
        <v>12</v>
      </c>
      <c r="D359" s="97">
        <v>53922</v>
      </c>
      <c r="E359" s="80">
        <f t="shared" si="5"/>
        <v>25.924038461538462</v>
      </c>
      <c r="F359" s="68">
        <f>ROUND(YEARFRAC(B359,F9),0)</f>
        <v>12</v>
      </c>
      <c r="G359" s="73">
        <v>12</v>
      </c>
      <c r="H359" s="74">
        <v>47</v>
      </c>
      <c r="I359" s="65" t="str">
        <f>IF(F359&gt;=10,"Yes","No")</f>
        <v>Yes</v>
      </c>
      <c r="J359" s="66">
        <v>1</v>
      </c>
      <c r="K359" s="66">
        <v>1</v>
      </c>
      <c r="L359" s="66">
        <v>2</v>
      </c>
      <c r="M359" s="50" t="s">
        <v>52</v>
      </c>
      <c r="N359" s="50" t="str">
        <f>VLOOKUP(M359,F417:G420,2,FALSE)</f>
        <v>Midwest</v>
      </c>
    </row>
    <row r="360" spans="1:14" ht="15.75">
      <c r="A360" s="62">
        <v>1814</v>
      </c>
      <c r="B360" s="63">
        <v>40774</v>
      </c>
      <c r="C360" s="64" t="s">
        <v>33</v>
      </c>
      <c r="D360" s="97">
        <v>87102</v>
      </c>
      <c r="E360" s="80">
        <f t="shared" si="5"/>
        <v>41.875961538461539</v>
      </c>
      <c r="F360" s="68">
        <f>ROUND(YEARFRAC(B360,F9),0)</f>
        <v>3</v>
      </c>
      <c r="G360" s="73">
        <v>16</v>
      </c>
      <c r="H360" s="74">
        <v>53</v>
      </c>
      <c r="I360" s="65"/>
      <c r="J360" s="66">
        <v>1</v>
      </c>
      <c r="K360" s="66">
        <v>1</v>
      </c>
      <c r="L360" s="66">
        <v>1</v>
      </c>
      <c r="M360" s="50" t="s">
        <v>51</v>
      </c>
      <c r="N360" s="50" t="str">
        <f>VLOOKUP(M360,F417:G420,2,FALSE)</f>
        <v>Northeast</v>
      </c>
    </row>
    <row r="361" spans="1:14" ht="15.75">
      <c r="A361" s="62">
        <v>1815</v>
      </c>
      <c r="B361" s="63">
        <v>40772</v>
      </c>
      <c r="C361" s="64" t="s">
        <v>12</v>
      </c>
      <c r="D361" s="97">
        <v>33244</v>
      </c>
      <c r="E361" s="80">
        <f t="shared" si="5"/>
        <v>15.982692307692307</v>
      </c>
      <c r="F361" s="68">
        <f>ROUND(YEARFRAC(B361,F9),0)</f>
        <v>3</v>
      </c>
      <c r="G361" s="73">
        <v>12</v>
      </c>
      <c r="H361" s="74">
        <v>26</v>
      </c>
      <c r="I361" s="65"/>
      <c r="J361" s="66">
        <v>3</v>
      </c>
      <c r="K361" s="66">
        <v>1</v>
      </c>
      <c r="L361" s="66">
        <v>1</v>
      </c>
      <c r="M361" s="50" t="s">
        <v>48</v>
      </c>
      <c r="N361" s="50" t="str">
        <f>VLOOKUP(M361,F417:G420,2,FALSE)</f>
        <v>C-Plains</v>
      </c>
    </row>
    <row r="362" spans="1:14" ht="15.75">
      <c r="A362" s="62">
        <v>1816</v>
      </c>
      <c r="B362" s="63">
        <v>39919</v>
      </c>
      <c r="C362" s="64" t="s">
        <v>12</v>
      </c>
      <c r="D362" s="97">
        <v>37144</v>
      </c>
      <c r="E362" s="80">
        <f t="shared" si="5"/>
        <v>17.857692307692307</v>
      </c>
      <c r="F362" s="68">
        <f>ROUND(YEARFRAC(B362,F9),0)</f>
        <v>6</v>
      </c>
      <c r="G362" s="73">
        <v>12</v>
      </c>
      <c r="H362" s="74">
        <v>33</v>
      </c>
      <c r="I362" s="65"/>
      <c r="J362" s="66">
        <v>3</v>
      </c>
      <c r="K362" s="66">
        <v>1</v>
      </c>
      <c r="L362" s="66">
        <v>1</v>
      </c>
      <c r="M362" s="50" t="s">
        <v>48</v>
      </c>
      <c r="N362" s="50" t="str">
        <f>VLOOKUP(M362,F418:G421,2,FALSE)</f>
        <v>C-Plains</v>
      </c>
    </row>
    <row r="363" spans="1:14" ht="15.75">
      <c r="A363" s="62">
        <v>1819</v>
      </c>
      <c r="B363" s="63">
        <v>40092</v>
      </c>
      <c r="C363" s="64" t="s">
        <v>12</v>
      </c>
      <c r="D363" s="97">
        <v>34804</v>
      </c>
      <c r="E363" s="80">
        <f t="shared" si="5"/>
        <v>16.732692307692307</v>
      </c>
      <c r="F363" s="68">
        <f>ROUND(YEARFRAC(B363,F9),0)</f>
        <v>5</v>
      </c>
      <c r="G363" s="73">
        <v>12</v>
      </c>
      <c r="H363" s="74">
        <v>30</v>
      </c>
      <c r="I363" s="65"/>
      <c r="J363" s="66">
        <v>2</v>
      </c>
      <c r="K363" s="66">
        <v>1</v>
      </c>
      <c r="L363" s="66">
        <v>1</v>
      </c>
      <c r="M363" s="50" t="s">
        <v>52</v>
      </c>
      <c r="N363" s="50" t="str">
        <f>VLOOKUP(M363,F419:G422,2,FALSE)</f>
        <v>Midwest</v>
      </c>
    </row>
    <row r="364" spans="1:14" ht="15.75">
      <c r="A364" s="62">
        <v>1820</v>
      </c>
      <c r="B364" s="63">
        <v>40031</v>
      </c>
      <c r="C364" s="64" t="s">
        <v>20</v>
      </c>
      <c r="D364" s="97">
        <v>44236</v>
      </c>
      <c r="E364" s="80">
        <f t="shared" si="5"/>
        <v>21.267307692307693</v>
      </c>
      <c r="F364" s="68">
        <f>ROUND(YEARFRAC(B364,F9),0)</f>
        <v>5</v>
      </c>
      <c r="G364" s="73">
        <v>12</v>
      </c>
      <c r="H364" s="74">
        <v>32</v>
      </c>
      <c r="I364" s="65"/>
      <c r="J364" s="66">
        <v>3</v>
      </c>
      <c r="K364" s="66">
        <v>1</v>
      </c>
      <c r="L364" s="66">
        <v>1</v>
      </c>
      <c r="M364" s="50" t="s">
        <v>48</v>
      </c>
      <c r="N364" s="50" t="str">
        <f>VLOOKUP(M364,F420:G423,2,FALSE)</f>
        <v>C-Plains</v>
      </c>
    </row>
    <row r="365" spans="1:14" ht="15.75">
      <c r="A365" s="62">
        <v>1821</v>
      </c>
      <c r="B365" s="63">
        <v>38973</v>
      </c>
      <c r="C365" s="64" t="s">
        <v>12</v>
      </c>
      <c r="D365" s="97">
        <v>50130</v>
      </c>
      <c r="E365" s="80">
        <f t="shared" si="5"/>
        <v>24.10096153846154</v>
      </c>
      <c r="F365" s="68">
        <f>ROUND(YEARFRAC(B365,F9),0)</f>
        <v>8</v>
      </c>
      <c r="G365" s="73">
        <v>12</v>
      </c>
      <c r="H365" s="74">
        <v>40</v>
      </c>
      <c r="I365" s="65"/>
      <c r="J365" s="66">
        <v>3</v>
      </c>
      <c r="K365" s="66">
        <v>1</v>
      </c>
      <c r="L365" s="66">
        <v>1</v>
      </c>
      <c r="M365" s="50" t="s">
        <v>51</v>
      </c>
      <c r="N365" s="50" t="str">
        <f>VLOOKUP(M365,F417:G420,2,FALSE)</f>
        <v>Northeast</v>
      </c>
    </row>
    <row r="366" spans="1:14" ht="15.75">
      <c r="A366" s="62">
        <v>1822</v>
      </c>
      <c r="B366" s="63">
        <v>39204</v>
      </c>
      <c r="C366" s="64" t="s">
        <v>64</v>
      </c>
      <c r="D366" s="97">
        <v>81691</v>
      </c>
      <c r="E366" s="80">
        <f t="shared" si="5"/>
        <v>39.274519230769229</v>
      </c>
      <c r="F366" s="68">
        <f>ROUND(YEARFRAC(B366,F9),0)</f>
        <v>8</v>
      </c>
      <c r="G366" s="73">
        <v>16</v>
      </c>
      <c r="H366" s="74">
        <v>36</v>
      </c>
      <c r="I366" s="65"/>
      <c r="J366" s="66">
        <v>3</v>
      </c>
      <c r="K366" s="66">
        <v>1</v>
      </c>
      <c r="L366" s="66">
        <v>1</v>
      </c>
      <c r="M366" s="50" t="s">
        <v>48</v>
      </c>
      <c r="N366" s="50" t="str">
        <f>VLOOKUP(M366,F417:G420,2,FALSE)</f>
        <v>C-Plains</v>
      </c>
    </row>
    <row r="367" spans="1:14" ht="15.75">
      <c r="A367" s="62">
        <v>1824</v>
      </c>
      <c r="B367" s="63">
        <v>41377</v>
      </c>
      <c r="C367" s="64" t="s">
        <v>12</v>
      </c>
      <c r="D367" s="97">
        <v>30089</v>
      </c>
      <c r="E367" s="80">
        <f t="shared" si="5"/>
        <v>14.465865384615384</v>
      </c>
      <c r="F367" s="68">
        <f>ROUND(YEARFRAC(B367,F9),0)</f>
        <v>2</v>
      </c>
      <c r="G367" s="73">
        <v>12</v>
      </c>
      <c r="H367" s="74">
        <v>20</v>
      </c>
      <c r="I367" s="65"/>
      <c r="J367" s="66">
        <v>1</v>
      </c>
      <c r="K367" s="66">
        <v>2</v>
      </c>
      <c r="L367" s="66">
        <v>2</v>
      </c>
      <c r="M367" s="50" t="s">
        <v>48</v>
      </c>
      <c r="N367" s="50" t="str">
        <f>VLOOKUP(M367,F417:G420,2,FALSE)</f>
        <v>C-Plains</v>
      </c>
    </row>
    <row r="368" spans="1:14" ht="15.75">
      <c r="A368" s="62">
        <v>1829</v>
      </c>
      <c r="B368" s="63">
        <v>39142</v>
      </c>
      <c r="C368" s="64" t="s">
        <v>12</v>
      </c>
      <c r="D368" s="97">
        <v>48826</v>
      </c>
      <c r="E368" s="80">
        <f t="shared" si="5"/>
        <v>23.474038461538463</v>
      </c>
      <c r="F368" s="68">
        <f>ROUND(YEARFRAC(B368,F9),0)</f>
        <v>8</v>
      </c>
      <c r="G368" s="73">
        <v>12</v>
      </c>
      <c r="H368" s="74">
        <v>39</v>
      </c>
      <c r="I368" s="65"/>
      <c r="J368" s="66">
        <v>1</v>
      </c>
      <c r="K368" s="66">
        <v>1</v>
      </c>
      <c r="L368" s="66">
        <v>1</v>
      </c>
      <c r="M368" s="50" t="s">
        <v>51</v>
      </c>
      <c r="N368" s="50" t="str">
        <f>VLOOKUP(M368,F417:G420,2,FALSE)</f>
        <v>Northeast</v>
      </c>
    </row>
    <row r="369" spans="1:14" ht="15.75">
      <c r="A369" s="62">
        <v>1830</v>
      </c>
      <c r="B369" s="4">
        <v>36540</v>
      </c>
      <c r="C369" s="64" t="s">
        <v>12</v>
      </c>
      <c r="D369" s="97">
        <v>58928</v>
      </c>
      <c r="E369" s="80">
        <f t="shared" si="5"/>
        <v>28.330769230769231</v>
      </c>
      <c r="F369" s="68">
        <f>ROUND(YEARFRAC(B369,F9),0)</f>
        <v>15</v>
      </c>
      <c r="G369" s="73">
        <v>14</v>
      </c>
      <c r="H369" s="74">
        <v>52</v>
      </c>
      <c r="I369" s="65" t="str">
        <f>IF(F369&gt;=10,"Yes","No")</f>
        <v>Yes</v>
      </c>
      <c r="J369" s="66">
        <v>3</v>
      </c>
      <c r="K369" s="66">
        <v>1</v>
      </c>
      <c r="L369" s="66">
        <v>1</v>
      </c>
      <c r="M369" s="50" t="s">
        <v>52</v>
      </c>
      <c r="N369" s="50" t="str">
        <f>VLOOKUP(M369,F418:G421,2,FALSE)</f>
        <v>Midwest</v>
      </c>
    </row>
    <row r="370" spans="1:14" ht="15.75">
      <c r="A370" s="62">
        <v>1831</v>
      </c>
      <c r="B370" s="63">
        <v>41137</v>
      </c>
      <c r="C370" s="64" t="s">
        <v>18</v>
      </c>
      <c r="D370" s="97">
        <v>65938</v>
      </c>
      <c r="E370" s="80">
        <f t="shared" si="5"/>
        <v>31.700961538461538</v>
      </c>
      <c r="F370" s="68">
        <f>ROUND(YEARFRAC(B370,F9),0)</f>
        <v>2</v>
      </c>
      <c r="G370" s="73">
        <v>12</v>
      </c>
      <c r="H370" s="74">
        <v>29</v>
      </c>
      <c r="I370" s="65"/>
      <c r="J370" s="66">
        <v>1</v>
      </c>
      <c r="K370" s="66">
        <v>2</v>
      </c>
      <c r="L370" s="66">
        <v>1</v>
      </c>
      <c r="M370" s="50" t="s">
        <v>51</v>
      </c>
      <c r="N370" s="50" t="str">
        <f>VLOOKUP(M370,F417:G420,2,FALSE)</f>
        <v>Northeast</v>
      </c>
    </row>
    <row r="371" spans="1:14" ht="15.75">
      <c r="A371" s="62">
        <v>1835</v>
      </c>
      <c r="B371" s="63">
        <v>41432</v>
      </c>
      <c r="C371" s="64" t="s">
        <v>18</v>
      </c>
      <c r="D371" s="97">
        <v>65556</v>
      </c>
      <c r="E371" s="80">
        <f t="shared" si="5"/>
        <v>31.517307692307693</v>
      </c>
      <c r="F371" s="68">
        <f>ROUND(YEARFRAC(B371,F9),0)</f>
        <v>2</v>
      </c>
      <c r="G371" s="73">
        <v>12</v>
      </c>
      <c r="H371" s="74">
        <v>29</v>
      </c>
      <c r="I371" s="65"/>
      <c r="J371" s="66">
        <v>4</v>
      </c>
      <c r="K371" s="66">
        <v>1</v>
      </c>
      <c r="L371" s="66">
        <v>1</v>
      </c>
      <c r="M371" s="50" t="s">
        <v>48</v>
      </c>
      <c r="N371" s="50" t="str">
        <f>VLOOKUP(M371,F418:G421,2,FALSE)</f>
        <v>C-Plains</v>
      </c>
    </row>
    <row r="372" spans="1:14" ht="15.75">
      <c r="A372" s="62">
        <v>1836</v>
      </c>
      <c r="B372" s="63">
        <v>38941</v>
      </c>
      <c r="C372" s="64" t="s">
        <v>12</v>
      </c>
      <c r="D372" s="97">
        <v>50199</v>
      </c>
      <c r="E372" s="80">
        <f t="shared" si="5"/>
        <v>24.134134615384614</v>
      </c>
      <c r="F372" s="68">
        <f>ROUND(YEARFRAC(B372,F9),0)</f>
        <v>8</v>
      </c>
      <c r="G372" s="73">
        <v>12</v>
      </c>
      <c r="H372" s="74">
        <v>41</v>
      </c>
      <c r="I372" s="65"/>
      <c r="J372" s="66">
        <v>1</v>
      </c>
      <c r="K372" s="66">
        <v>1</v>
      </c>
      <c r="L372" s="66">
        <v>1</v>
      </c>
      <c r="M372" s="50" t="s">
        <v>48</v>
      </c>
      <c r="N372" s="50" t="str">
        <f>VLOOKUP(M372,F419:G422,2,FALSE)</f>
        <v>C-Plains</v>
      </c>
    </row>
    <row r="373" spans="1:14" ht="15.75">
      <c r="A373" s="62">
        <v>1840</v>
      </c>
      <c r="B373" s="4">
        <v>36572</v>
      </c>
      <c r="C373" s="64" t="s">
        <v>12</v>
      </c>
      <c r="D373" s="97">
        <v>58792</v>
      </c>
      <c r="E373" s="80">
        <f t="shared" si="5"/>
        <v>28.265384615384615</v>
      </c>
      <c r="F373" s="68">
        <f>ROUND(YEARFRAC(B373,F9),0)</f>
        <v>15</v>
      </c>
      <c r="G373" s="73">
        <v>12</v>
      </c>
      <c r="H373" s="74">
        <v>52</v>
      </c>
      <c r="I373" s="65" t="str">
        <f>IF(F373&gt;=10,"Yes","No")</f>
        <v>Yes</v>
      </c>
      <c r="J373" s="66">
        <v>3</v>
      </c>
      <c r="K373" s="66">
        <v>1</v>
      </c>
      <c r="L373" s="66">
        <v>1</v>
      </c>
      <c r="M373" s="50" t="s">
        <v>52</v>
      </c>
      <c r="N373" s="50" t="str">
        <f>VLOOKUP(M373,F417:G420,2,FALSE)</f>
        <v>Midwest</v>
      </c>
    </row>
    <row r="374" spans="1:14" ht="15.75">
      <c r="A374" s="62">
        <v>1841</v>
      </c>
      <c r="B374" s="63">
        <v>39240</v>
      </c>
      <c r="C374" s="64" t="s">
        <v>15</v>
      </c>
      <c r="D374" s="97">
        <v>79865</v>
      </c>
      <c r="E374" s="80">
        <f t="shared" si="5"/>
        <v>38.396634615384613</v>
      </c>
      <c r="F374" s="68">
        <f>ROUND(YEARFRAC(B374,F9),0)</f>
        <v>8</v>
      </c>
      <c r="G374" s="73">
        <v>16</v>
      </c>
      <c r="H374" s="74">
        <v>45</v>
      </c>
      <c r="I374" s="65"/>
      <c r="J374" s="66">
        <v>2</v>
      </c>
      <c r="K374" s="66">
        <v>1</v>
      </c>
      <c r="L374" s="66">
        <v>2</v>
      </c>
      <c r="M374" s="50" t="s">
        <v>51</v>
      </c>
      <c r="N374" s="50" t="str">
        <f>VLOOKUP(M374,F417:G420,2,FALSE)</f>
        <v>Northeast</v>
      </c>
    </row>
    <row r="375" spans="1:14" ht="15.75">
      <c r="A375" s="62">
        <v>1841</v>
      </c>
      <c r="B375" s="63">
        <v>41491</v>
      </c>
      <c r="C375" s="64" t="s">
        <v>18</v>
      </c>
      <c r="D375" s="97">
        <v>65117</v>
      </c>
      <c r="E375" s="80">
        <f t="shared" si="5"/>
        <v>31.306249999999999</v>
      </c>
      <c r="F375" s="68">
        <f>ROUND(YEARFRAC(B375,F9),0)</f>
        <v>1</v>
      </c>
      <c r="G375" s="73">
        <v>12</v>
      </c>
      <c r="H375" s="74">
        <v>28</v>
      </c>
      <c r="I375" s="65"/>
      <c r="J375" s="66">
        <v>3</v>
      </c>
      <c r="K375" s="66">
        <v>1</v>
      </c>
      <c r="L375" s="66">
        <v>1</v>
      </c>
      <c r="M375" s="50" t="s">
        <v>51</v>
      </c>
      <c r="N375" s="50" t="str">
        <f>VLOOKUP(M375,F417:G420,2,FALSE)</f>
        <v>Northeast</v>
      </c>
    </row>
    <row r="376" spans="1:14" ht="15.75">
      <c r="A376" s="62">
        <v>1846</v>
      </c>
      <c r="B376" s="63">
        <v>39926</v>
      </c>
      <c r="C376" s="64" t="s">
        <v>15</v>
      </c>
      <c r="D376" s="97">
        <v>80113</v>
      </c>
      <c r="E376" s="80">
        <f t="shared" si="5"/>
        <v>38.515865384615381</v>
      </c>
      <c r="F376" s="68">
        <f>ROUND(YEARFRAC(B376,F9),0)</f>
        <v>6</v>
      </c>
      <c r="G376" s="73">
        <v>19</v>
      </c>
      <c r="H376" s="74">
        <v>46</v>
      </c>
      <c r="I376" s="65"/>
      <c r="J376" s="66">
        <v>3</v>
      </c>
      <c r="K376" s="66">
        <v>2</v>
      </c>
      <c r="L376" s="66">
        <v>2</v>
      </c>
      <c r="M376" s="50" t="s">
        <v>51</v>
      </c>
      <c r="N376" s="50" t="str">
        <f>VLOOKUP(M376,F417:G420,2,FALSE)</f>
        <v>Northeast</v>
      </c>
    </row>
    <row r="377" spans="1:14" ht="15.75">
      <c r="A377" s="62">
        <v>1846</v>
      </c>
      <c r="B377" s="63">
        <v>41338</v>
      </c>
      <c r="C377" s="64" t="s">
        <v>64</v>
      </c>
      <c r="D377" s="97">
        <v>60324</v>
      </c>
      <c r="E377" s="80">
        <f t="shared" si="5"/>
        <v>29.001923076923077</v>
      </c>
      <c r="F377" s="68">
        <f>ROUND(YEARFRAC(B377,F9),0)</f>
        <v>2</v>
      </c>
      <c r="G377" s="73">
        <v>16</v>
      </c>
      <c r="H377" s="74">
        <v>24</v>
      </c>
      <c r="I377" s="65"/>
      <c r="J377" s="66">
        <v>3</v>
      </c>
      <c r="K377" s="66">
        <v>1</v>
      </c>
      <c r="L377" s="66">
        <v>1</v>
      </c>
      <c r="M377" s="50" t="s">
        <v>52</v>
      </c>
      <c r="N377" s="50" t="str">
        <f>VLOOKUP(M377,F417:G420,2,FALSE)</f>
        <v>Midwest</v>
      </c>
    </row>
    <row r="378" spans="1:14" ht="15.75">
      <c r="A378" s="62">
        <v>1846</v>
      </c>
      <c r="B378" s="63">
        <v>38229</v>
      </c>
      <c r="C378" s="64" t="s">
        <v>12</v>
      </c>
      <c r="D378" s="97">
        <v>53369</v>
      </c>
      <c r="E378" s="80">
        <f t="shared" si="5"/>
        <v>25.658173076923077</v>
      </c>
      <c r="F378" s="68">
        <f>ROUND(YEARFRAC(B378,F9),0)</f>
        <v>10</v>
      </c>
      <c r="G378" s="73">
        <v>12</v>
      </c>
      <c r="H378" s="74">
        <v>46</v>
      </c>
      <c r="I378" s="65" t="str">
        <f>IF(F378&gt;=10,"Yes","No")</f>
        <v>Yes</v>
      </c>
      <c r="J378" s="66">
        <v>2</v>
      </c>
      <c r="K378" s="66">
        <v>1</v>
      </c>
      <c r="L378" s="66">
        <v>1</v>
      </c>
      <c r="M378" s="50" t="s">
        <v>51</v>
      </c>
      <c r="N378" s="50" t="str">
        <f>VLOOKUP(M378,F417:G420,2,FALSE)</f>
        <v>Northeast</v>
      </c>
    </row>
    <row r="379" spans="1:14" ht="15.75">
      <c r="A379" s="62">
        <v>1848</v>
      </c>
      <c r="B379" s="63">
        <v>40162</v>
      </c>
      <c r="C379" s="64" t="s">
        <v>15</v>
      </c>
      <c r="D379" s="97">
        <v>80722</v>
      </c>
      <c r="E379" s="80">
        <f t="shared" si="5"/>
        <v>38.808653846153845</v>
      </c>
      <c r="F379" s="68">
        <f>ROUND(YEARFRAC(B379,F9),0)</f>
        <v>5</v>
      </c>
      <c r="G379" s="73">
        <v>19</v>
      </c>
      <c r="H379" s="74">
        <v>52</v>
      </c>
      <c r="I379" s="65"/>
      <c r="J379" s="66">
        <v>3</v>
      </c>
      <c r="K379" s="66">
        <v>1</v>
      </c>
      <c r="L379" s="66">
        <v>1</v>
      </c>
      <c r="M379" s="50" t="s">
        <v>51</v>
      </c>
      <c r="N379" s="50" t="str">
        <f>VLOOKUP(M379,F417:G420,2,FALSE)</f>
        <v>Northeast</v>
      </c>
    </row>
    <row r="380" spans="1:14" ht="15.75">
      <c r="A380" s="62">
        <v>1848</v>
      </c>
      <c r="B380" s="63">
        <v>38143</v>
      </c>
      <c r="C380" s="64" t="s">
        <v>13</v>
      </c>
      <c r="D380" s="97">
        <v>28344</v>
      </c>
      <c r="E380" s="80">
        <f t="shared" si="5"/>
        <v>13.626923076923077</v>
      </c>
      <c r="F380" s="68">
        <f>ROUND(YEARFRAC(B380,F9),0)</f>
        <v>11</v>
      </c>
      <c r="G380" s="73">
        <v>12</v>
      </c>
      <c r="H380" s="74">
        <v>32</v>
      </c>
      <c r="I380" s="65" t="str">
        <f>IF(F380&gt;=10,"Yes","No")</f>
        <v>Yes</v>
      </c>
      <c r="J380" s="66">
        <v>3</v>
      </c>
      <c r="K380" s="66">
        <v>1</v>
      </c>
      <c r="L380" s="66">
        <v>1</v>
      </c>
      <c r="M380" s="50" t="s">
        <v>51</v>
      </c>
      <c r="N380" s="50" t="str">
        <f>VLOOKUP(M380,F417:G420,2,FALSE)</f>
        <v>Northeast</v>
      </c>
    </row>
    <row r="381" spans="1:14" ht="15.75">
      <c r="A381" s="62">
        <v>1850</v>
      </c>
      <c r="B381" s="63">
        <v>40502</v>
      </c>
      <c r="C381" s="64" t="s">
        <v>13</v>
      </c>
      <c r="D381" s="97">
        <v>24060</v>
      </c>
      <c r="E381" s="80">
        <f t="shared" si="5"/>
        <v>11.567307692307692</v>
      </c>
      <c r="F381" s="68">
        <f>ROUND(YEARFRAC(B381,F9),0)</f>
        <v>4</v>
      </c>
      <c r="G381" s="73">
        <v>12</v>
      </c>
      <c r="H381" s="74">
        <v>24</v>
      </c>
      <c r="I381" s="65"/>
      <c r="J381" s="66">
        <v>3</v>
      </c>
      <c r="K381" s="66">
        <v>1</v>
      </c>
      <c r="L381" s="66">
        <v>2</v>
      </c>
      <c r="M381" s="50" t="s">
        <v>51</v>
      </c>
      <c r="N381" s="50" t="str">
        <f>VLOOKUP(M381,F417:G420,2,FALSE)</f>
        <v>Northeast</v>
      </c>
    </row>
    <row r="382" spans="1:14" ht="15.75">
      <c r="A382" s="62">
        <v>1850</v>
      </c>
      <c r="B382" s="63">
        <v>39299</v>
      </c>
      <c r="C382" s="64" t="s">
        <v>29</v>
      </c>
      <c r="D382" s="98">
        <v>58068</v>
      </c>
      <c r="E382" s="80">
        <f t="shared" si="5"/>
        <v>27.917307692307691</v>
      </c>
      <c r="F382" s="68">
        <f>ROUND(YEARFRAC(B382,F9),0)</f>
        <v>7</v>
      </c>
      <c r="G382" s="75">
        <v>12</v>
      </c>
      <c r="H382" s="76">
        <v>30</v>
      </c>
      <c r="I382" s="65"/>
      <c r="J382" s="66">
        <v>3</v>
      </c>
      <c r="K382" s="66">
        <v>2</v>
      </c>
      <c r="L382" s="66">
        <v>1</v>
      </c>
      <c r="M382" s="50" t="s">
        <v>52</v>
      </c>
      <c r="N382" s="50" t="str">
        <f>VLOOKUP(M382,F418:G421,2,FALSE)</f>
        <v>Midwest</v>
      </c>
    </row>
    <row r="383" spans="1:14">
      <c r="C383" s="6"/>
      <c r="D383" s="71"/>
      <c r="E383" s="3"/>
      <c r="F383" s="5"/>
      <c r="G383" s="14"/>
      <c r="H383" s="5"/>
      <c r="I383" s="5"/>
      <c r="J383" s="5"/>
      <c r="K383" s="5"/>
      <c r="L383" s="5"/>
    </row>
    <row r="384" spans="1:14">
      <c r="C384" s="6"/>
      <c r="D384" s="2"/>
      <c r="E384" s="3"/>
      <c r="F384" s="5"/>
      <c r="G384" s="14"/>
      <c r="H384" s="5"/>
      <c r="I384" s="5"/>
      <c r="J384" s="5"/>
      <c r="K384" s="5"/>
      <c r="L384" s="5"/>
    </row>
    <row r="385" spans="1:14">
      <c r="A385" s="22"/>
      <c r="B385" s="22"/>
    </row>
    <row r="386" spans="1:14" ht="15.75" customHeight="1">
      <c r="A386" s="147" t="s">
        <v>95</v>
      </c>
      <c r="B386" s="147"/>
      <c r="C386" s="147"/>
      <c r="D386" s="147"/>
      <c r="E386" s="147"/>
      <c r="F386" s="147"/>
      <c r="G386" s="31"/>
      <c r="H386" s="31"/>
      <c r="I386" s="31"/>
      <c r="J386" s="31"/>
      <c r="K386" s="31"/>
      <c r="L386" s="31"/>
      <c r="M386" s="31"/>
      <c r="N386" s="31"/>
    </row>
    <row r="387" spans="1:14" ht="15.75" customHeight="1">
      <c r="A387" s="20"/>
      <c r="B387" s="20"/>
      <c r="C387" s="20"/>
      <c r="D387" s="20"/>
      <c r="K387" s="11" t="s">
        <v>87</v>
      </c>
    </row>
    <row r="388" spans="1:14" ht="15" customHeight="1">
      <c r="A388" s="15"/>
      <c r="B388" s="11" t="s">
        <v>72</v>
      </c>
      <c r="F388" s="9" t="s">
        <v>4</v>
      </c>
      <c r="G388"/>
      <c r="H388" s="16" t="s">
        <v>76</v>
      </c>
      <c r="I388" s="16" t="s">
        <v>77</v>
      </c>
      <c r="K388" s="1" t="s">
        <v>88</v>
      </c>
      <c r="L388" s="1" t="s">
        <v>16</v>
      </c>
    </row>
    <row r="389" spans="1:14">
      <c r="B389" s="16" t="s">
        <v>71</v>
      </c>
      <c r="C389" s="43">
        <f>COUNTIF(C11:C382,"Key Emp")</f>
        <v>0</v>
      </c>
      <c r="F389" s="16">
        <v>1</v>
      </c>
      <c r="G389" s="24" t="s">
        <v>74</v>
      </c>
      <c r="H389" s="43">
        <f>COUNTIF(J11:J382,"1")</f>
        <v>96</v>
      </c>
      <c r="I389" s="44">
        <f>H389/H393</f>
        <v>0.38247011952191234</v>
      </c>
      <c r="K389" s="1">
        <v>1999</v>
      </c>
      <c r="L389" s="2">
        <f>-527*1000</f>
        <v>-527000</v>
      </c>
    </row>
    <row r="390" spans="1:14">
      <c r="B390" s="17" t="s">
        <v>27</v>
      </c>
      <c r="C390" s="43">
        <f>COUNTIF(C11:C382,"Acctg/Fin")</f>
        <v>10</v>
      </c>
      <c r="F390" s="16">
        <v>2</v>
      </c>
      <c r="G390" s="24" t="s">
        <v>36</v>
      </c>
      <c r="H390" s="43">
        <f>COUNTIF(J11:J382,"2")</f>
        <v>24</v>
      </c>
      <c r="I390" s="44">
        <f>H390/H393</f>
        <v>9.5617529880478086E-2</v>
      </c>
      <c r="K390" s="1">
        <v>2000</v>
      </c>
      <c r="L390" s="2">
        <f>1215*1000</f>
        <v>1215000</v>
      </c>
    </row>
    <row r="391" spans="1:14">
      <c r="B391" s="17" t="s">
        <v>14</v>
      </c>
      <c r="C391" s="43">
        <f>COUNTIF(C11:C382,"Admin")</f>
        <v>4</v>
      </c>
      <c r="F391" s="26">
        <v>3</v>
      </c>
      <c r="G391" s="25" t="s">
        <v>38</v>
      </c>
      <c r="H391" s="43">
        <f>COUNTIF(J12:J382,"3")</f>
        <v>226</v>
      </c>
      <c r="I391" s="44">
        <f>H391/H393</f>
        <v>0.90039840637450197</v>
      </c>
      <c r="K391" s="1">
        <v>2001</v>
      </c>
      <c r="L391" s="2">
        <f>-257*1000</f>
        <v>-257000</v>
      </c>
    </row>
    <row r="392" spans="1:14">
      <c r="B392" s="17" t="s">
        <v>31</v>
      </c>
      <c r="C392" s="43">
        <f>COUNTIF(C11:C382,"Advertg")</f>
        <v>5</v>
      </c>
      <c r="F392" s="8">
        <v>4</v>
      </c>
      <c r="G392" s="24" t="s">
        <v>37</v>
      </c>
      <c r="H392" s="43">
        <f>COUNTIF(J11:J382,"4")</f>
        <v>25</v>
      </c>
      <c r="I392" s="44">
        <f>H392/H393</f>
        <v>9.9601593625498003E-2</v>
      </c>
      <c r="K392" s="1">
        <v>2002</v>
      </c>
      <c r="L392" s="2">
        <f>985*1000</f>
        <v>985000</v>
      </c>
    </row>
    <row r="393" spans="1:14">
      <c r="B393" s="17" t="s">
        <v>21</v>
      </c>
      <c r="C393" s="43">
        <f>COUNTIF(C11:C382,"CEO")</f>
        <v>1</v>
      </c>
      <c r="H393" s="43">
        <f>SUM(H391:H392)</f>
        <v>251</v>
      </c>
      <c r="I393" s="44"/>
      <c r="K393" s="1">
        <v>2003</v>
      </c>
      <c r="L393" s="2">
        <f>1274*1000</f>
        <v>1274000</v>
      </c>
    </row>
    <row r="394" spans="1:14">
      <c r="B394" s="17" t="s">
        <v>22</v>
      </c>
      <c r="C394" s="43">
        <f>COUNTIF(C11:C382,"CFO")</f>
        <v>1</v>
      </c>
      <c r="K394" s="1">
        <v>2004</v>
      </c>
      <c r="L394" s="2">
        <f>1578*1000</f>
        <v>1578000</v>
      </c>
    </row>
    <row r="395" spans="1:14">
      <c r="B395" s="17" t="s">
        <v>24</v>
      </c>
      <c r="C395" s="43">
        <f>COUNTIF(C11:C382,"Controller")</f>
        <v>1</v>
      </c>
      <c r="K395" s="1">
        <v>2005</v>
      </c>
      <c r="L395" s="2">
        <f>2061*1000</f>
        <v>2061000</v>
      </c>
    </row>
    <row r="396" spans="1:14">
      <c r="B396" s="17" t="s">
        <v>23</v>
      </c>
      <c r="C396" s="43">
        <f>COUNTIF(C11:C382,"COO")</f>
        <v>1</v>
      </c>
      <c r="F396" s="9" t="s">
        <v>5</v>
      </c>
      <c r="G396"/>
      <c r="H396" s="16" t="s">
        <v>76</v>
      </c>
      <c r="I396" s="16" t="s">
        <v>77</v>
      </c>
      <c r="K396" s="1">
        <v>2006</v>
      </c>
      <c r="L396" s="2">
        <f>1987*1000</f>
        <v>1987000</v>
      </c>
    </row>
    <row r="397" spans="1:14">
      <c r="B397" s="17" t="s">
        <v>15</v>
      </c>
      <c r="C397" s="43">
        <f>COUNTIF(C11:C382,"Design")</f>
        <v>19</v>
      </c>
      <c r="F397" s="16">
        <v>1</v>
      </c>
      <c r="G397" s="24" t="s">
        <v>39</v>
      </c>
      <c r="H397" s="43">
        <f>COUNTIF(K11:K382,"1")</f>
        <v>300</v>
      </c>
      <c r="I397" s="44">
        <f>H397/H399</f>
        <v>0.80645161290322576</v>
      </c>
      <c r="K397" s="1">
        <v>2007</v>
      </c>
      <c r="L397" s="2">
        <f>2057*1000</f>
        <v>2057000</v>
      </c>
    </row>
    <row r="398" spans="1:14">
      <c r="B398" s="17" t="s">
        <v>64</v>
      </c>
      <c r="C398" s="43">
        <f>COUNTIF(C11:C382,"Engineering")</f>
        <v>23</v>
      </c>
      <c r="F398" s="16">
        <v>2</v>
      </c>
      <c r="G398" s="24" t="s">
        <v>40</v>
      </c>
      <c r="H398" s="43">
        <f>COUNTIF(K11:K382,"2")</f>
        <v>72</v>
      </c>
      <c r="I398" s="44">
        <f>H398/H399</f>
        <v>0.19354838709677419</v>
      </c>
      <c r="K398" s="1">
        <v>2008</v>
      </c>
      <c r="L398" s="2">
        <f>2565*1000</f>
        <v>2565000</v>
      </c>
    </row>
    <row r="399" spans="1:14">
      <c r="B399" s="17" t="s">
        <v>46</v>
      </c>
      <c r="C399" s="43">
        <f>COUNTIF(C11:C382,"Eng Mgr")</f>
        <v>1</v>
      </c>
      <c r="H399" s="43">
        <f>SUM(H397:H398)</f>
        <v>372</v>
      </c>
      <c r="I399" s="44"/>
      <c r="K399" s="1">
        <v>2009</v>
      </c>
      <c r="L399" s="2">
        <f>2467*1000</f>
        <v>2467000</v>
      </c>
    </row>
    <row r="400" spans="1:14">
      <c r="B400" s="17" t="s">
        <v>19</v>
      </c>
      <c r="C400" s="43">
        <f>COUNTIF(C11:C382,"Flr Supr")</f>
        <v>7</v>
      </c>
      <c r="K400" s="1">
        <v>2010</v>
      </c>
      <c r="L400" s="2">
        <f>3846*1000</f>
        <v>3846000</v>
      </c>
    </row>
    <row r="401" spans="2:12">
      <c r="B401" s="17" t="s">
        <v>13</v>
      </c>
      <c r="C401" s="43">
        <f>COUNTIF(C11:C382,"Gen Shop")</f>
        <v>40</v>
      </c>
      <c r="K401" s="1">
        <v>2011</v>
      </c>
      <c r="L401" s="2">
        <f>3252*1000</f>
        <v>3252000</v>
      </c>
    </row>
    <row r="402" spans="2:12">
      <c r="B402" s="17" t="s">
        <v>29</v>
      </c>
      <c r="C402" s="43">
        <f>COUNTIF(C1:C382,"Invent")</f>
        <v>8</v>
      </c>
      <c r="F402" s="13" t="s">
        <v>57</v>
      </c>
      <c r="G402" s="7"/>
      <c r="H402" s="16" t="s">
        <v>76</v>
      </c>
      <c r="I402" s="16" t="s">
        <v>77</v>
      </c>
      <c r="K402" s="1">
        <v>2012</v>
      </c>
      <c r="L402" s="2">
        <f>4226*1000</f>
        <v>4226000</v>
      </c>
    </row>
    <row r="403" spans="2:12">
      <c r="B403" s="17" t="s">
        <v>34</v>
      </c>
      <c r="C403" s="43">
        <f>COUNTIF(C11:C382,"IT Staff")</f>
        <v>8</v>
      </c>
      <c r="F403" s="16">
        <v>12</v>
      </c>
      <c r="G403" s="24" t="s">
        <v>42</v>
      </c>
      <c r="H403" s="45">
        <f>COUNTIF(G11:G382,"12")</f>
        <v>215</v>
      </c>
      <c r="I403" s="44">
        <f>H403/H407</f>
        <v>0.57795698924731187</v>
      </c>
      <c r="K403" s="1">
        <v>2013</v>
      </c>
      <c r="L403" s="2">
        <f>4844*1000</f>
        <v>4844000</v>
      </c>
    </row>
    <row r="404" spans="2:12">
      <c r="B404" s="17" t="s">
        <v>35</v>
      </c>
      <c r="C404" s="43">
        <f>COUNTIF(C11:C382,"IT Mgr")</f>
        <v>1</v>
      </c>
      <c r="F404" s="16">
        <v>14</v>
      </c>
      <c r="G404" s="24" t="s">
        <v>43</v>
      </c>
      <c r="H404" s="45">
        <f>COUNTIF(G11:G382,"14")</f>
        <v>37</v>
      </c>
      <c r="I404" s="44">
        <f>H404/H407</f>
        <v>9.9462365591397844E-2</v>
      </c>
      <c r="K404" s="1">
        <v>2014</v>
      </c>
      <c r="L404" s="2">
        <f>4922*1000</f>
        <v>4922000</v>
      </c>
    </row>
    <row r="405" spans="2:12">
      <c r="B405" s="17" t="s">
        <v>12</v>
      </c>
      <c r="C405" s="43">
        <f>COUNTIF(C11:C382,"Machine")</f>
        <v>159</v>
      </c>
      <c r="F405" s="16">
        <v>16</v>
      </c>
      <c r="G405" s="24" t="s">
        <v>44</v>
      </c>
      <c r="H405" s="45">
        <f>COUNTIF(G11:G382,"16")</f>
        <v>93</v>
      </c>
      <c r="I405" s="44">
        <f>H405/H407</f>
        <v>0.25</v>
      </c>
      <c r="K405" s="1">
        <v>2015</v>
      </c>
      <c r="L405" s="2">
        <f>3702*1000</f>
        <v>3702000</v>
      </c>
    </row>
    <row r="406" spans="2:12">
      <c r="B406" s="17" t="s">
        <v>26</v>
      </c>
      <c r="C406" s="43">
        <f>COUNTIF(C11:C382,"Mrktg")</f>
        <v>5</v>
      </c>
      <c r="F406" s="16">
        <v>19</v>
      </c>
      <c r="G406" s="24" t="s">
        <v>45</v>
      </c>
      <c r="H406" s="45">
        <f>COUNTIF(G11:G382,"19")</f>
        <v>27</v>
      </c>
      <c r="I406" s="44">
        <f>H406/H407</f>
        <v>7.2580645161290328E-2</v>
      </c>
      <c r="L406" s="79">
        <f>SUM(L389:L405)</f>
        <v>40197000</v>
      </c>
    </row>
    <row r="407" spans="2:12">
      <c r="B407" s="17" t="s">
        <v>17</v>
      </c>
      <c r="C407" s="43">
        <f>COUNTIF(C11:C382,"Purch")</f>
        <v>5</v>
      </c>
      <c r="H407" s="43">
        <f>SUM(H403:H406)</f>
        <v>372</v>
      </c>
      <c r="I407" s="44"/>
      <c r="K407" s="1" t="s">
        <v>126</v>
      </c>
      <c r="L407" s="80">
        <f>L406/17</f>
        <v>2364529.411764706</v>
      </c>
    </row>
    <row r="408" spans="2:12">
      <c r="B408" s="17" t="s">
        <v>30</v>
      </c>
      <c r="C408" s="43">
        <f>COUNTIF(C11:C382,"Quality")</f>
        <v>5</v>
      </c>
      <c r="K408" s="1" t="s">
        <v>127</v>
      </c>
      <c r="L408" s="144">
        <f>L407/L405</f>
        <v>0.63871675088187629</v>
      </c>
    </row>
    <row r="409" spans="2:12">
      <c r="B409" s="17" t="s">
        <v>16</v>
      </c>
      <c r="C409" s="43">
        <f>COUNTIF(C11:C382,"Sales")</f>
        <v>14</v>
      </c>
    </row>
    <row r="410" spans="2:12">
      <c r="B410" s="17" t="s">
        <v>25</v>
      </c>
      <c r="C410" s="43">
        <f>COUNTIF(C11:C382,"Sales Mgr")</f>
        <v>1</v>
      </c>
      <c r="F410" s="9" t="s">
        <v>56</v>
      </c>
      <c r="G410"/>
      <c r="H410" s="16" t="s">
        <v>76</v>
      </c>
      <c r="I410" s="16" t="s">
        <v>77</v>
      </c>
    </row>
    <row r="411" spans="2:12">
      <c r="B411" s="17" t="s">
        <v>20</v>
      </c>
      <c r="C411" s="43">
        <f>COUNTIF(C11:C382,"Shipping")</f>
        <v>18</v>
      </c>
      <c r="F411" s="16">
        <v>1</v>
      </c>
      <c r="G411" s="24" t="s">
        <v>41</v>
      </c>
      <c r="H411" s="45">
        <f>COUNTIF(L11:L382,"1")</f>
        <v>254</v>
      </c>
      <c r="I411" s="44">
        <f>H411/H413</f>
        <v>0.68279569892473113</v>
      </c>
    </row>
    <row r="412" spans="2:12">
      <c r="B412" s="17" t="s">
        <v>28</v>
      </c>
      <c r="C412" s="43">
        <f>COUNTIF(C11:C382,"Shp Mgr")</f>
        <v>1</v>
      </c>
      <c r="F412" s="16">
        <v>2</v>
      </c>
      <c r="G412" s="24" t="s">
        <v>9</v>
      </c>
      <c r="H412" s="45">
        <f>COUNTIF(L11:L382,"2")</f>
        <v>118</v>
      </c>
      <c r="I412" s="44">
        <f>H412/H413</f>
        <v>0.31720430107526881</v>
      </c>
    </row>
    <row r="413" spans="2:12">
      <c r="B413" s="17" t="s">
        <v>32</v>
      </c>
      <c r="C413" s="43">
        <f>COUNTIF(C11:C382,"Sr Flr Mgr")</f>
        <v>3</v>
      </c>
      <c r="H413" s="43">
        <f>SUM(H411:H412)</f>
        <v>372</v>
      </c>
      <c r="I413" s="44"/>
    </row>
    <row r="414" spans="2:12">
      <c r="B414" s="17" t="s">
        <v>18</v>
      </c>
      <c r="C414" s="43">
        <f>COUNTIF(C11:C382,"Sr Mach")</f>
        <v>28</v>
      </c>
    </row>
    <row r="415" spans="2:12">
      <c r="B415" s="17" t="s">
        <v>33</v>
      </c>
      <c r="C415" s="43">
        <f>COUNTIF(C11:C382,"Sr Sales Mgr")</f>
        <v>3</v>
      </c>
    </row>
    <row r="416" spans="2:12">
      <c r="C416" s="43">
        <f>SUM(C389:C415)</f>
        <v>372</v>
      </c>
      <c r="F416" s="9" t="s">
        <v>50</v>
      </c>
      <c r="G416"/>
    </row>
    <row r="417" spans="1:14">
      <c r="F417" s="12" t="s">
        <v>49</v>
      </c>
      <c r="G417" s="34" t="s">
        <v>47</v>
      </c>
      <c r="H417" s="16" t="s">
        <v>76</v>
      </c>
      <c r="I417" s="16" t="s">
        <v>77</v>
      </c>
    </row>
    <row r="418" spans="1:14">
      <c r="F418" s="12" t="s">
        <v>51</v>
      </c>
      <c r="G418" s="35" t="s">
        <v>53</v>
      </c>
      <c r="H418" s="43">
        <f>COUNTIF(N11:N382,"Northeast")</f>
        <v>148</v>
      </c>
      <c r="I418" s="44">
        <f>H418/H421</f>
        <v>0.39784946236559138</v>
      </c>
    </row>
    <row r="419" spans="1:14">
      <c r="F419" s="12" t="s">
        <v>52</v>
      </c>
      <c r="G419" s="35" t="s">
        <v>54</v>
      </c>
      <c r="H419" s="43">
        <f>COUNTIF(N11:N382,"Midwest")</f>
        <v>123</v>
      </c>
      <c r="I419" s="44">
        <f>H419/H421</f>
        <v>0.33064516129032256</v>
      </c>
    </row>
    <row r="420" spans="1:14">
      <c r="F420" s="12" t="s">
        <v>48</v>
      </c>
      <c r="G420" s="36" t="s">
        <v>75</v>
      </c>
      <c r="H420" s="43">
        <f>COUNTIF(N11:N382,"C-Plains")</f>
        <v>101</v>
      </c>
      <c r="I420" s="44">
        <f>H420/H421</f>
        <v>0.271505376344086</v>
      </c>
    </row>
    <row r="421" spans="1:14">
      <c r="H421" s="43">
        <f>SUM(H418:H420)</f>
        <v>372</v>
      </c>
      <c r="I421" s="44"/>
    </row>
    <row r="423" spans="1:14">
      <c r="A423" s="146" t="s">
        <v>96</v>
      </c>
      <c r="B423" s="146"/>
      <c r="C423" s="146"/>
      <c r="D423" s="146"/>
      <c r="E423" s="27"/>
      <c r="F423" s="28"/>
      <c r="G423" s="29"/>
      <c r="H423" s="28"/>
      <c r="I423" s="28"/>
      <c r="J423" s="28"/>
      <c r="K423" s="28"/>
      <c r="L423" s="28"/>
      <c r="M423" s="30"/>
      <c r="N423" s="30"/>
    </row>
    <row r="424" spans="1:14">
      <c r="C424" s="6"/>
      <c r="D424" s="2"/>
      <c r="E424" s="3"/>
      <c r="F424" s="5"/>
      <c r="G424" s="14"/>
      <c r="H424" s="5"/>
      <c r="I424" s="5"/>
      <c r="J424" s="5"/>
      <c r="K424" s="5"/>
      <c r="L424" s="5"/>
    </row>
    <row r="425" spans="1:14">
      <c r="A425" s="37" t="s">
        <v>73</v>
      </c>
      <c r="B425" s="37"/>
      <c r="C425" s="38"/>
      <c r="D425" s="38" t="str">
        <f>D10</f>
        <v>Salary</v>
      </c>
      <c r="E425" s="38" t="str">
        <f>E10</f>
        <v>Hrly Rate</v>
      </c>
      <c r="F425" s="38" t="str">
        <f>F10</f>
        <v>Yrs of Svc</v>
      </c>
      <c r="G425" s="38" t="s">
        <v>7</v>
      </c>
      <c r="H425" s="38" t="s">
        <v>6</v>
      </c>
      <c r="I425" s="38"/>
      <c r="K425" s="11" t="s">
        <v>92</v>
      </c>
      <c r="M425"/>
    </row>
    <row r="426" spans="1:14" ht="60">
      <c r="A426" s="39" t="s">
        <v>68</v>
      </c>
      <c r="B426" s="39"/>
      <c r="C426" s="18"/>
      <c r="D426" s="46">
        <f>AVERAGE(D11:D382)</f>
        <v>53114.897849462366</v>
      </c>
      <c r="E426" s="101">
        <f t="shared" ref="E426:H426" si="6">AVERAGE(E11:E382)</f>
        <v>25.536008581472313</v>
      </c>
      <c r="F426" s="69">
        <f t="shared" si="6"/>
        <v>6.916666666666667</v>
      </c>
      <c r="G426" s="69">
        <f t="shared" si="6"/>
        <v>13.706989247311828</v>
      </c>
      <c r="H426" s="69">
        <f t="shared" si="6"/>
        <v>35.833333333333336</v>
      </c>
      <c r="K426" s="15" t="s">
        <v>89</v>
      </c>
      <c r="L426" s="1" t="s">
        <v>90</v>
      </c>
      <c r="M426"/>
    </row>
    <row r="427" spans="1:14">
      <c r="A427" s="39" t="s">
        <v>69</v>
      </c>
      <c r="B427" s="39"/>
      <c r="C427" s="18"/>
      <c r="D427" s="46">
        <f>MEDIAN(D11:D382)</f>
        <v>51296.5</v>
      </c>
      <c r="E427" s="101">
        <f t="shared" ref="E427:H427" si="7">MEDIAN(E11:E382)</f>
        <v>24.661778846153847</v>
      </c>
      <c r="F427" s="69">
        <f t="shared" si="7"/>
        <v>6</v>
      </c>
      <c r="G427" s="69">
        <f t="shared" si="7"/>
        <v>12</v>
      </c>
      <c r="H427" s="69">
        <f t="shared" si="7"/>
        <v>35</v>
      </c>
      <c r="K427" s="1">
        <v>20000</v>
      </c>
      <c r="L427" s="1" t="s">
        <v>97</v>
      </c>
      <c r="M427" t="s">
        <v>91</v>
      </c>
    </row>
    <row r="428" spans="1:14">
      <c r="A428" s="39" t="s">
        <v>70</v>
      </c>
      <c r="B428" s="39"/>
      <c r="C428" s="18"/>
      <c r="D428" s="46">
        <f>MODE(D11:D382)</f>
        <v>36918</v>
      </c>
      <c r="E428" s="101">
        <f t="shared" ref="E428:H428" si="8">MODE(E11:E382)</f>
        <v>17.749038461538461</v>
      </c>
      <c r="F428" s="69">
        <f t="shared" si="8"/>
        <v>6</v>
      </c>
      <c r="G428" s="69">
        <f t="shared" si="8"/>
        <v>12</v>
      </c>
      <c r="H428" s="69">
        <f t="shared" si="8"/>
        <v>32</v>
      </c>
      <c r="K428" s="1">
        <v>30000</v>
      </c>
      <c r="L428" s="1" t="s">
        <v>98</v>
      </c>
      <c r="M428"/>
    </row>
    <row r="429" spans="1:14">
      <c r="A429" s="145" t="s">
        <v>86</v>
      </c>
      <c r="B429" s="145"/>
      <c r="C429" s="145"/>
      <c r="D429" s="47">
        <f>STDEV(D11:D382)</f>
        <v>21711.92674502774</v>
      </c>
      <c r="E429" s="102">
        <f t="shared" ref="E429:H429" si="9">STDEV(E11:E382)</f>
        <v>10.438426319724835</v>
      </c>
      <c r="F429" s="69">
        <f t="shared" si="9"/>
        <v>4.1353178292565085</v>
      </c>
      <c r="G429" s="69">
        <f t="shared" si="9"/>
        <v>2.2481269999647089</v>
      </c>
      <c r="H429" s="69">
        <f t="shared" si="9"/>
        <v>9.6980931055129904</v>
      </c>
      <c r="K429" s="1">
        <v>40000</v>
      </c>
      <c r="L429" s="1" t="s">
        <v>99</v>
      </c>
      <c r="M429"/>
    </row>
    <row r="430" spans="1:14">
      <c r="A430" s="18" t="s">
        <v>79</v>
      </c>
      <c r="B430" s="21"/>
      <c r="C430" s="18"/>
      <c r="D430" s="47">
        <f>VAR(D11:D382)</f>
        <v>471407762.98145092</v>
      </c>
      <c r="E430" s="102">
        <f t="shared" ref="E430:H430" si="10">VAR(E11:E382)</f>
        <v>108.96074403232414</v>
      </c>
      <c r="F430" s="69">
        <f t="shared" si="10"/>
        <v>17.100853548966761</v>
      </c>
      <c r="G430" s="69">
        <f t="shared" si="10"/>
        <v>5.0540750079703232</v>
      </c>
      <c r="H430" s="69">
        <f t="shared" si="10"/>
        <v>94.053009883198612</v>
      </c>
      <c r="K430" s="1">
        <v>50000</v>
      </c>
      <c r="L430" s="1" t="s">
        <v>100</v>
      </c>
      <c r="M430"/>
    </row>
    <row r="431" spans="1:14">
      <c r="A431" s="40" t="s">
        <v>82</v>
      </c>
      <c r="B431" s="21"/>
      <c r="C431" s="21"/>
      <c r="D431" s="47">
        <f>KURT(D11:D382)</f>
        <v>4.9212734614238371</v>
      </c>
      <c r="E431" s="102">
        <f t="shared" ref="E431:H431" si="11">KURT(E11:E382)</f>
        <v>4.9212734614238265</v>
      </c>
      <c r="F431" s="69">
        <f t="shared" si="11"/>
        <v>-0.36362204491032912</v>
      </c>
      <c r="G431" s="69">
        <f t="shared" si="11"/>
        <v>-0.28020206283397053</v>
      </c>
      <c r="H431" s="69">
        <f t="shared" si="11"/>
        <v>-0.71449414444561876</v>
      </c>
      <c r="K431" s="1">
        <v>60000</v>
      </c>
      <c r="L431" s="1" t="s">
        <v>101</v>
      </c>
      <c r="M431"/>
    </row>
    <row r="432" spans="1:14">
      <c r="A432" s="40" t="s">
        <v>83</v>
      </c>
      <c r="B432" s="21"/>
      <c r="C432" s="21"/>
      <c r="D432" s="47">
        <f>SKEW(D11:D382)</f>
        <v>1.1949185712992232</v>
      </c>
      <c r="E432" s="102">
        <f t="shared" ref="E432:H432" si="12">SKEW(E11:E382)</f>
        <v>1.194918571299217</v>
      </c>
      <c r="F432" s="69">
        <f t="shared" si="12"/>
        <v>0.74087860159493168</v>
      </c>
      <c r="G432" s="69">
        <f t="shared" si="12"/>
        <v>0.96753516932922312</v>
      </c>
      <c r="H432" s="69">
        <f t="shared" si="12"/>
        <v>0.31027907027658264</v>
      </c>
      <c r="K432" s="1">
        <v>70000</v>
      </c>
      <c r="L432" s="1" t="s">
        <v>102</v>
      </c>
      <c r="M432"/>
    </row>
    <row r="433" spans="1:13">
      <c r="A433" s="18" t="s">
        <v>80</v>
      </c>
      <c r="B433" s="21"/>
      <c r="D433" s="46">
        <f>MAX(D11:D382)</f>
        <v>200210</v>
      </c>
      <c r="E433" s="101">
        <f t="shared" ref="E433:H433" si="13">MAX(E11:E382)</f>
        <v>96.254807692307693</v>
      </c>
      <c r="F433" s="69">
        <f t="shared" si="13"/>
        <v>16</v>
      </c>
      <c r="G433" s="69">
        <f t="shared" si="13"/>
        <v>19</v>
      </c>
      <c r="H433" s="69">
        <f t="shared" si="13"/>
        <v>62</v>
      </c>
      <c r="K433" s="1">
        <v>80000</v>
      </c>
      <c r="L433" s="1" t="s">
        <v>103</v>
      </c>
      <c r="M433"/>
    </row>
    <row r="434" spans="1:13">
      <c r="A434" s="42" t="s">
        <v>81</v>
      </c>
      <c r="B434" s="42"/>
      <c r="C434" s="41"/>
      <c r="D434" s="48">
        <f>MIN(D11:D382)</f>
        <v>15182</v>
      </c>
      <c r="E434" s="103">
        <f t="shared" ref="E434:H434" si="14">MIN(E11:E382)</f>
        <v>7.2990384615384611</v>
      </c>
      <c r="F434" s="72">
        <f t="shared" si="14"/>
        <v>0</v>
      </c>
      <c r="G434" s="72">
        <f t="shared" si="14"/>
        <v>12</v>
      </c>
      <c r="H434" s="72">
        <f t="shared" si="14"/>
        <v>18</v>
      </c>
      <c r="I434" s="41"/>
      <c r="K434" s="1">
        <v>90000</v>
      </c>
      <c r="L434" s="1" t="s">
        <v>104</v>
      </c>
      <c r="M434"/>
    </row>
    <row r="435" spans="1:13">
      <c r="A435" s="18" t="s">
        <v>78</v>
      </c>
      <c r="B435" s="21"/>
      <c r="D435" s="46">
        <f>D433-D434</f>
        <v>185028</v>
      </c>
      <c r="E435" s="101">
        <f t="shared" ref="E435:H435" si="15">E433-E434</f>
        <v>88.955769230769235</v>
      </c>
      <c r="F435" s="101">
        <f t="shared" si="15"/>
        <v>16</v>
      </c>
      <c r="G435" s="101">
        <f t="shared" si="15"/>
        <v>7</v>
      </c>
      <c r="H435" s="101">
        <f t="shared" si="15"/>
        <v>44</v>
      </c>
      <c r="K435" s="1">
        <v>100000</v>
      </c>
      <c r="L435" s="1" t="s">
        <v>105</v>
      </c>
      <c r="M435"/>
    </row>
    <row r="436" spans="1:13">
      <c r="A436" s="21" t="s">
        <v>84</v>
      </c>
      <c r="B436" s="21"/>
      <c r="D436" s="46">
        <f>SUM(D11:D382)</f>
        <v>19758742</v>
      </c>
      <c r="E436" s="101">
        <f t="shared" ref="E436:H436" si="16">SUM(E11:E382)</f>
        <v>9499.3951923077002</v>
      </c>
      <c r="F436" s="69">
        <f t="shared" si="16"/>
        <v>2573</v>
      </c>
      <c r="G436" s="69">
        <f t="shared" si="16"/>
        <v>5099</v>
      </c>
      <c r="H436" s="69">
        <f t="shared" si="16"/>
        <v>13330</v>
      </c>
      <c r="K436" s="1">
        <v>110000</v>
      </c>
      <c r="L436" s="1" t="s">
        <v>106</v>
      </c>
      <c r="M436"/>
    </row>
    <row r="437" spans="1:13">
      <c r="A437" s="21" t="s">
        <v>85</v>
      </c>
      <c r="B437" s="21"/>
      <c r="D437" s="47">
        <f>COUNT(D11:D382)</f>
        <v>372</v>
      </c>
      <c r="E437" s="102">
        <f t="shared" ref="E437:H437" si="17">COUNT(E11:E382)</f>
        <v>372</v>
      </c>
      <c r="F437" s="69">
        <f t="shared" si="17"/>
        <v>372</v>
      </c>
      <c r="G437" s="69">
        <f t="shared" si="17"/>
        <v>372</v>
      </c>
      <c r="H437" s="69">
        <f t="shared" si="17"/>
        <v>372</v>
      </c>
      <c r="K437" s="1">
        <v>120000</v>
      </c>
      <c r="L437" s="1" t="s">
        <v>107</v>
      </c>
      <c r="M437"/>
    </row>
    <row r="438" spans="1:13">
      <c r="A438" s="19"/>
      <c r="B438" s="19"/>
      <c r="K438" s="1">
        <v>130000</v>
      </c>
      <c r="L438" s="1" t="s">
        <v>108</v>
      </c>
      <c r="M438"/>
    </row>
    <row r="439" spans="1:13">
      <c r="K439" s="1">
        <v>140000</v>
      </c>
      <c r="L439" s="1" t="s">
        <v>109</v>
      </c>
    </row>
    <row r="440" spans="1:13">
      <c r="K440" s="1">
        <v>150000</v>
      </c>
      <c r="L440" s="1" t="s">
        <v>110</v>
      </c>
    </row>
    <row r="441" spans="1:13">
      <c r="K441" s="1">
        <v>160000</v>
      </c>
      <c r="L441" s="1" t="s">
        <v>111</v>
      </c>
    </row>
    <row r="442" spans="1:13">
      <c r="K442" s="1">
        <v>170000</v>
      </c>
      <c r="L442" s="1" t="s">
        <v>112</v>
      </c>
    </row>
    <row r="443" spans="1:13">
      <c r="K443" s="1">
        <v>180000</v>
      </c>
      <c r="L443" s="1" t="s">
        <v>113</v>
      </c>
    </row>
    <row r="444" spans="1:13">
      <c r="K444" s="1">
        <v>190000</v>
      </c>
      <c r="L444" s="1" t="s">
        <v>114</v>
      </c>
    </row>
    <row r="445" spans="1:13">
      <c r="K445" s="1">
        <v>200000</v>
      </c>
      <c r="L445" s="1" t="s">
        <v>115</v>
      </c>
    </row>
    <row r="446" spans="1:13">
      <c r="K446" s="1">
        <v>210000</v>
      </c>
      <c r="L446" s="1" t="s">
        <v>116</v>
      </c>
    </row>
  </sheetData>
  <autoFilter ref="K388:L388">
    <sortState ref="J389:K405">
      <sortCondition ref="J388"/>
    </sortState>
  </autoFilter>
  <sortState ref="A11:N382">
    <sortCondition ref="A11:A382"/>
  </sortState>
  <mergeCells count="3">
    <mergeCell ref="A429:C429"/>
    <mergeCell ref="A423:D423"/>
    <mergeCell ref="A386:F386"/>
  </mergeCells>
  <pageMargins left="0.25" right="0.25" top="0.75" bottom="0.75" header="0.3" footer="0.3"/>
  <pageSetup orientation="landscape"/>
  <headerFooter>
    <oddFooter>&amp;CPage &amp;P&amp;R11/16/2016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J16"/>
  <sheetViews>
    <sheetView workbookViewId="0">
      <selection activeCell="E20" sqref="E20"/>
    </sheetView>
  </sheetViews>
  <sheetFormatPr defaultColWidth="8.85546875" defaultRowHeight="15"/>
  <cols>
    <col min="1" max="1" width="22.85546875" customWidth="1"/>
    <col min="2" max="2" width="12" bestFit="1" customWidth="1"/>
    <col min="3" max="3" width="23.28515625" bestFit="1" customWidth="1"/>
    <col min="4" max="4" width="12" bestFit="1" customWidth="1"/>
    <col min="5" max="5" width="23.28515625" bestFit="1" customWidth="1"/>
    <col min="6" max="6" width="12.7109375" bestFit="1" customWidth="1"/>
    <col min="7" max="7" width="23.28515625" bestFit="1" customWidth="1"/>
    <col min="8" max="8" width="12.7109375" bestFit="1" customWidth="1"/>
    <col min="9" max="9" width="23.28515625" bestFit="1" customWidth="1"/>
    <col min="10" max="10" width="12.7109375" bestFit="1" customWidth="1"/>
  </cols>
  <sheetData>
    <row r="1" spans="1:10" ht="15.75" thickBot="1">
      <c r="A1" s="70" t="s">
        <v>1</v>
      </c>
      <c r="B1" s="106"/>
      <c r="C1" s="60" t="s">
        <v>2</v>
      </c>
      <c r="D1" s="106"/>
      <c r="E1" s="60" t="s">
        <v>3</v>
      </c>
      <c r="F1" s="106"/>
      <c r="G1" s="59" t="s">
        <v>7</v>
      </c>
      <c r="H1" s="106"/>
      <c r="I1" s="61" t="s">
        <v>6</v>
      </c>
      <c r="J1" s="106"/>
    </row>
    <row r="2" spans="1:10">
      <c r="A2" s="95"/>
      <c r="B2" s="95"/>
      <c r="C2" s="95"/>
      <c r="D2" s="95"/>
      <c r="E2" s="95"/>
      <c r="F2" s="95"/>
      <c r="G2" s="95"/>
      <c r="H2" s="95"/>
      <c r="I2" s="95"/>
      <c r="J2" s="95"/>
    </row>
    <row r="3" spans="1:10">
      <c r="A3" s="95" t="s">
        <v>68</v>
      </c>
      <c r="B3" s="95">
        <v>53114.897849462366</v>
      </c>
      <c r="C3" s="95" t="s">
        <v>68</v>
      </c>
      <c r="D3" s="95">
        <v>25.536008581472313</v>
      </c>
      <c r="E3" s="95" t="s">
        <v>68</v>
      </c>
      <c r="F3" s="95">
        <v>6.8901807048984507</v>
      </c>
      <c r="G3" s="95" t="s">
        <v>68</v>
      </c>
      <c r="H3" s="95">
        <v>13.706989247311828</v>
      </c>
      <c r="I3" s="95" t="s">
        <v>68</v>
      </c>
      <c r="J3" s="95">
        <v>35.833333333333336</v>
      </c>
    </row>
    <row r="4" spans="1:10">
      <c r="A4" s="95" t="s">
        <v>117</v>
      </c>
      <c r="B4" s="95">
        <v>1125.710961705968</v>
      </c>
      <c r="C4" s="95" t="s">
        <v>117</v>
      </c>
      <c r="D4" s="95">
        <v>0.54120719312786714</v>
      </c>
      <c r="E4" s="95" t="s">
        <v>117</v>
      </c>
      <c r="F4" s="95">
        <v>0.21149765634206852</v>
      </c>
      <c r="G4" s="95" t="s">
        <v>117</v>
      </c>
      <c r="H4" s="95">
        <v>0.11655995512913157</v>
      </c>
      <c r="I4" s="95" t="s">
        <v>117</v>
      </c>
      <c r="J4" s="95">
        <v>0.50282270407075746</v>
      </c>
    </row>
    <row r="5" spans="1:10">
      <c r="A5" s="95" t="s">
        <v>69</v>
      </c>
      <c r="B5" s="95">
        <v>51296.5</v>
      </c>
      <c r="C5" s="95" t="s">
        <v>69</v>
      </c>
      <c r="D5" s="95">
        <v>24.661778846153847</v>
      </c>
      <c r="E5" s="95" t="s">
        <v>69</v>
      </c>
      <c r="F5" s="95">
        <v>5.7305555555555552</v>
      </c>
      <c r="G5" s="95" t="s">
        <v>69</v>
      </c>
      <c r="H5" s="95">
        <v>12</v>
      </c>
      <c r="I5" s="95" t="s">
        <v>69</v>
      </c>
      <c r="J5" s="95">
        <v>35</v>
      </c>
    </row>
    <row r="6" spans="1:10">
      <c r="A6" s="95" t="s">
        <v>70</v>
      </c>
      <c r="B6" s="95">
        <v>36918</v>
      </c>
      <c r="C6" s="95" t="s">
        <v>70</v>
      </c>
      <c r="D6" s="95">
        <v>17.749038461538461</v>
      </c>
      <c r="E6" s="95" t="s">
        <v>70</v>
      </c>
      <c r="F6" s="95">
        <v>15.794444444444444</v>
      </c>
      <c r="G6" s="95" t="s">
        <v>70</v>
      </c>
      <c r="H6" s="95">
        <v>12</v>
      </c>
      <c r="I6" s="95" t="s">
        <v>70</v>
      </c>
      <c r="J6" s="95">
        <v>32</v>
      </c>
    </row>
    <row r="7" spans="1:10">
      <c r="A7" s="95" t="s">
        <v>118</v>
      </c>
      <c r="B7" s="95">
        <v>21711.92674502774</v>
      </c>
      <c r="C7" s="95" t="s">
        <v>118</v>
      </c>
      <c r="D7" s="95">
        <v>10.438426319724835</v>
      </c>
      <c r="E7" s="95" t="s">
        <v>118</v>
      </c>
      <c r="F7" s="95">
        <v>4.0792190690628312</v>
      </c>
      <c r="G7" s="95" t="s">
        <v>118</v>
      </c>
      <c r="H7" s="95">
        <v>2.2481269999647089</v>
      </c>
      <c r="I7" s="95" t="s">
        <v>118</v>
      </c>
      <c r="J7" s="95">
        <v>9.6980931055129904</v>
      </c>
    </row>
    <row r="8" spans="1:10">
      <c r="A8" s="95" t="s">
        <v>119</v>
      </c>
      <c r="B8" s="95">
        <v>471407762.98145092</v>
      </c>
      <c r="C8" s="95" t="s">
        <v>119</v>
      </c>
      <c r="D8" s="95">
        <v>108.96074403232414</v>
      </c>
      <c r="E8" s="95" t="s">
        <v>119</v>
      </c>
      <c r="F8" s="95">
        <v>16.640028213405831</v>
      </c>
      <c r="G8" s="95" t="s">
        <v>119</v>
      </c>
      <c r="H8" s="95">
        <v>5.0540750079703232</v>
      </c>
      <c r="I8" s="95" t="s">
        <v>119</v>
      </c>
      <c r="J8" s="95">
        <v>94.053009883198612</v>
      </c>
    </row>
    <row r="9" spans="1:10">
      <c r="A9" s="95" t="s">
        <v>82</v>
      </c>
      <c r="B9" s="95">
        <v>4.9212734614238371</v>
      </c>
      <c r="C9" s="95" t="s">
        <v>82</v>
      </c>
      <c r="D9" s="95">
        <v>4.9212734614238265</v>
      </c>
      <c r="E9" s="95" t="s">
        <v>82</v>
      </c>
      <c r="F9" s="95">
        <v>-0.39338653890500064</v>
      </c>
      <c r="G9" s="95" t="s">
        <v>82</v>
      </c>
      <c r="H9" s="95">
        <v>-0.28020206283397053</v>
      </c>
      <c r="I9" s="95" t="s">
        <v>82</v>
      </c>
      <c r="J9" s="95">
        <v>-0.71449414444561876</v>
      </c>
    </row>
    <row r="10" spans="1:10">
      <c r="A10" s="95" t="s">
        <v>83</v>
      </c>
      <c r="B10" s="95">
        <v>1.1949185712992232</v>
      </c>
      <c r="C10" s="95" t="s">
        <v>83</v>
      </c>
      <c r="D10" s="95">
        <v>1.194918571299217</v>
      </c>
      <c r="E10" s="95" t="s">
        <v>83</v>
      </c>
      <c r="F10" s="95">
        <v>0.73040270345625258</v>
      </c>
      <c r="G10" s="95" t="s">
        <v>83</v>
      </c>
      <c r="H10" s="95">
        <v>0.96753516932922312</v>
      </c>
      <c r="I10" s="95" t="s">
        <v>83</v>
      </c>
      <c r="J10" s="95">
        <v>0.31027907027658264</v>
      </c>
    </row>
    <row r="11" spans="1:10">
      <c r="A11" s="95" t="s">
        <v>78</v>
      </c>
      <c r="B11" s="95">
        <v>185028</v>
      </c>
      <c r="C11" s="95" t="s">
        <v>78</v>
      </c>
      <c r="D11" s="95">
        <v>88.955769230769235</v>
      </c>
      <c r="E11" s="95" t="s">
        <v>78</v>
      </c>
      <c r="F11" s="95">
        <v>15.405555555555555</v>
      </c>
      <c r="G11" s="95" t="s">
        <v>78</v>
      </c>
      <c r="H11" s="95">
        <v>7</v>
      </c>
      <c r="I11" s="95" t="s">
        <v>78</v>
      </c>
      <c r="J11" s="95">
        <v>44</v>
      </c>
    </row>
    <row r="12" spans="1:10">
      <c r="A12" s="95" t="s">
        <v>120</v>
      </c>
      <c r="B12" s="95">
        <v>15182</v>
      </c>
      <c r="C12" s="95" t="s">
        <v>120</v>
      </c>
      <c r="D12" s="95">
        <v>7.2990384615384611</v>
      </c>
      <c r="E12" s="95" t="s">
        <v>120</v>
      </c>
      <c r="F12" s="95">
        <v>0.3888888888888889</v>
      </c>
      <c r="G12" s="95" t="s">
        <v>120</v>
      </c>
      <c r="H12" s="95">
        <v>12</v>
      </c>
      <c r="I12" s="95" t="s">
        <v>120</v>
      </c>
      <c r="J12" s="95">
        <v>18</v>
      </c>
    </row>
    <row r="13" spans="1:10">
      <c r="A13" s="95" t="s">
        <v>121</v>
      </c>
      <c r="B13" s="95">
        <v>200210</v>
      </c>
      <c r="C13" s="95" t="s">
        <v>121</v>
      </c>
      <c r="D13" s="95">
        <v>96.254807692307693</v>
      </c>
      <c r="E13" s="95" t="s">
        <v>121</v>
      </c>
      <c r="F13" s="95">
        <v>15.794444444444444</v>
      </c>
      <c r="G13" s="95" t="s">
        <v>121</v>
      </c>
      <c r="H13" s="95">
        <v>19</v>
      </c>
      <c r="I13" s="95" t="s">
        <v>121</v>
      </c>
      <c r="J13" s="95">
        <v>62</v>
      </c>
    </row>
    <row r="14" spans="1:10">
      <c r="A14" s="95" t="s">
        <v>84</v>
      </c>
      <c r="B14" s="95">
        <v>19758742</v>
      </c>
      <c r="C14" s="95" t="s">
        <v>84</v>
      </c>
      <c r="D14" s="95">
        <v>9499.3951923077002</v>
      </c>
      <c r="E14" s="95" t="s">
        <v>84</v>
      </c>
      <c r="F14" s="95">
        <v>2563.1472222222237</v>
      </c>
      <c r="G14" s="95" t="s">
        <v>84</v>
      </c>
      <c r="H14" s="95">
        <v>5099</v>
      </c>
      <c r="I14" s="95" t="s">
        <v>84</v>
      </c>
      <c r="J14" s="95">
        <v>13330</v>
      </c>
    </row>
    <row r="15" spans="1:10">
      <c r="A15" s="95" t="s">
        <v>85</v>
      </c>
      <c r="B15" s="95">
        <v>372</v>
      </c>
      <c r="C15" s="95" t="s">
        <v>85</v>
      </c>
      <c r="D15" s="95">
        <v>372</v>
      </c>
      <c r="E15" s="95" t="s">
        <v>85</v>
      </c>
      <c r="F15" s="95">
        <v>372</v>
      </c>
      <c r="G15" s="95" t="s">
        <v>85</v>
      </c>
      <c r="H15" s="95">
        <v>372</v>
      </c>
      <c r="I15" s="95" t="s">
        <v>85</v>
      </c>
      <c r="J15" s="95">
        <v>372</v>
      </c>
    </row>
    <row r="16" spans="1:10" ht="15.75" thickBot="1">
      <c r="A16" s="105" t="s">
        <v>122</v>
      </c>
      <c r="B16" s="105">
        <v>2213.5741733874797</v>
      </c>
      <c r="C16" s="105" t="s">
        <v>122</v>
      </c>
      <c r="D16" s="105">
        <v>1.0642183525901303</v>
      </c>
      <c r="E16" s="105" t="s">
        <v>122</v>
      </c>
      <c r="F16" s="105">
        <v>0.41588450831223844</v>
      </c>
      <c r="G16" s="105" t="s">
        <v>122</v>
      </c>
      <c r="H16" s="105">
        <v>0.22920102504291112</v>
      </c>
      <c r="I16" s="105" t="s">
        <v>122</v>
      </c>
      <c r="J16" s="105">
        <v>0.98873990694478586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
  <sheetViews>
    <sheetView topLeftCell="A28" workbookViewId="0">
      <selection activeCell="S27" sqref="S27"/>
    </sheetView>
  </sheetViews>
  <sheetFormatPr defaultColWidth="8.85546875" defaultRowHeight="15"/>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B21"/>
  <sheetViews>
    <sheetView workbookViewId="0">
      <selection sqref="A1:B21"/>
    </sheetView>
  </sheetViews>
  <sheetFormatPr defaultColWidth="8.85546875" defaultRowHeight="15"/>
  <sheetData>
    <row r="1" spans="1:2">
      <c r="A1" s="106" t="s">
        <v>125</v>
      </c>
      <c r="B1" s="106" t="s">
        <v>124</v>
      </c>
    </row>
    <row r="2" spans="1:2">
      <c r="A2" s="108">
        <v>30000</v>
      </c>
      <c r="B2" s="95">
        <v>47</v>
      </c>
    </row>
    <row r="3" spans="1:2">
      <c r="A3" s="108">
        <v>40000</v>
      </c>
      <c r="B3" s="95">
        <v>76</v>
      </c>
    </row>
    <row r="4" spans="1:2">
      <c r="A4" s="108">
        <v>50000</v>
      </c>
      <c r="B4" s="95">
        <v>46</v>
      </c>
    </row>
    <row r="5" spans="1:2">
      <c r="A5" s="108">
        <v>60000</v>
      </c>
      <c r="B5" s="95">
        <v>75</v>
      </c>
    </row>
    <row r="6" spans="1:2">
      <c r="A6" s="108">
        <v>70000</v>
      </c>
      <c r="B6" s="95">
        <v>54</v>
      </c>
    </row>
    <row r="7" spans="1:2">
      <c r="A7" s="108">
        <v>80000</v>
      </c>
      <c r="B7" s="95">
        <v>24</v>
      </c>
    </row>
    <row r="8" spans="1:2">
      <c r="A8" s="108">
        <v>90000</v>
      </c>
      <c r="B8" s="95">
        <v>38</v>
      </c>
    </row>
    <row r="9" spans="1:2">
      <c r="A9" s="108">
        <v>100000</v>
      </c>
      <c r="B9" s="95">
        <v>6</v>
      </c>
    </row>
    <row r="10" spans="1:2">
      <c r="A10" s="108">
        <v>110000</v>
      </c>
      <c r="B10" s="95">
        <v>3</v>
      </c>
    </row>
    <row r="11" spans="1:2">
      <c r="A11" s="108">
        <v>120000</v>
      </c>
      <c r="B11" s="95">
        <v>1</v>
      </c>
    </row>
    <row r="12" spans="1:2">
      <c r="A12" s="108">
        <v>130000</v>
      </c>
      <c r="B12" s="95">
        <v>0</v>
      </c>
    </row>
    <row r="13" spans="1:2">
      <c r="A13" s="108">
        <v>140000</v>
      </c>
      <c r="B13" s="95">
        <v>1</v>
      </c>
    </row>
    <row r="14" spans="1:2">
      <c r="A14" s="108">
        <v>150000</v>
      </c>
      <c r="B14" s="95">
        <v>0</v>
      </c>
    </row>
    <row r="15" spans="1:2">
      <c r="A15" s="108">
        <v>160000</v>
      </c>
      <c r="B15" s="95">
        <v>0</v>
      </c>
    </row>
    <row r="16" spans="1:2">
      <c r="A16" s="108">
        <v>170000</v>
      </c>
      <c r="B16" s="95">
        <v>0</v>
      </c>
    </row>
    <row r="17" spans="1:2">
      <c r="A17" s="108">
        <v>180000</v>
      </c>
      <c r="B17" s="95">
        <v>0</v>
      </c>
    </row>
    <row r="18" spans="1:2">
      <c r="A18" s="108">
        <v>190000</v>
      </c>
      <c r="B18" s="95">
        <v>0</v>
      </c>
    </row>
    <row r="19" spans="1:2">
      <c r="A19" s="108">
        <v>200000</v>
      </c>
      <c r="B19" s="95">
        <v>0</v>
      </c>
    </row>
    <row r="20" spans="1:2">
      <c r="A20" s="108">
        <v>210000</v>
      </c>
      <c r="B20" s="95">
        <v>0</v>
      </c>
    </row>
    <row r="21" spans="1:2" ht="15.75" thickBot="1">
      <c r="A21" s="105" t="s">
        <v>123</v>
      </c>
      <c r="B21" s="105">
        <v>0</v>
      </c>
    </row>
  </sheetData>
  <sortState ref="A2:A20">
    <sortCondition ref="A2"/>
  </sortState>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O398"/>
  <sheetViews>
    <sheetView tabSelected="1" topLeftCell="B1" zoomScale="110" zoomScaleNormal="110" zoomScalePageLayoutView="110" workbookViewId="0">
      <selection activeCell="C21" sqref="C21"/>
    </sheetView>
  </sheetViews>
  <sheetFormatPr defaultColWidth="8.85546875" defaultRowHeight="15" outlineLevelCol="1"/>
  <cols>
    <col min="1" max="1" width="12.28515625" style="78" customWidth="1"/>
    <col min="2" max="2" width="11.140625" style="78" customWidth="1"/>
    <col min="3" max="3" width="11.85546875" style="78" customWidth="1"/>
    <col min="4" max="4" width="13.42578125" style="78" customWidth="1" outlineLevel="1"/>
    <col min="5" max="5" width="11.7109375" style="78" customWidth="1"/>
    <col min="6" max="6" width="16.140625" style="78" customWidth="1"/>
    <col min="7" max="7" width="9.85546875" style="78" customWidth="1"/>
    <col min="8" max="8" width="7.42578125" style="78" customWidth="1"/>
    <col min="9" max="9" width="7.85546875" style="78" customWidth="1"/>
    <col min="10" max="10" width="5.85546875" style="78" customWidth="1"/>
    <col min="11" max="11" width="7.42578125" style="78" customWidth="1"/>
    <col min="12" max="12" width="8.42578125" style="78" customWidth="1"/>
    <col min="13" max="13" width="6.85546875" style="78" customWidth="1"/>
    <col min="14" max="14" width="17.140625" style="78" customWidth="1"/>
    <col min="15" max="15" width="12" style="107" customWidth="1"/>
    <col min="16" max="16384" width="8.85546875" style="77"/>
  </cols>
  <sheetData>
    <row r="1" spans="1:15" ht="15" customHeight="1">
      <c r="A1" s="83" t="s">
        <v>55</v>
      </c>
      <c r="B1" s="83"/>
      <c r="D1" s="96"/>
      <c r="H1" s="96"/>
      <c r="M1" s="83"/>
      <c r="N1" s="83"/>
    </row>
    <row r="2" spans="1:15" ht="15" customHeight="1">
      <c r="A2" s="83"/>
      <c r="B2" s="83"/>
      <c r="D2" s="96"/>
      <c r="H2" s="96"/>
      <c r="M2" s="83"/>
      <c r="N2" s="83"/>
    </row>
    <row r="3" spans="1:15" ht="15" customHeight="1" thickBot="1">
      <c r="A3" s="90" t="s">
        <v>94</v>
      </c>
      <c r="B3" s="90"/>
      <c r="C3" s="89"/>
      <c r="D3" s="111"/>
      <c r="E3" s="89"/>
      <c r="F3" s="89"/>
      <c r="G3" s="89"/>
      <c r="H3" s="111"/>
      <c r="I3" s="89"/>
      <c r="J3" s="89"/>
      <c r="K3" s="89"/>
      <c r="L3" s="89"/>
      <c r="M3" s="91"/>
      <c r="N3" s="91"/>
    </row>
    <row r="4" spans="1:15" ht="15" customHeight="1">
      <c r="A4" s="88"/>
      <c r="B4" s="88"/>
      <c r="D4" s="96"/>
      <c r="F4" s="104"/>
      <c r="H4" s="96"/>
      <c r="M4" s="83"/>
      <c r="N4" s="83"/>
    </row>
    <row r="5" spans="1:15" ht="15" customHeight="1">
      <c r="A5" s="49" t="s">
        <v>58</v>
      </c>
      <c r="B5" s="49"/>
      <c r="C5" s="50"/>
      <c r="D5" s="112"/>
      <c r="E5" s="50"/>
      <c r="F5" s="50"/>
      <c r="G5" s="50"/>
      <c r="H5" s="112"/>
      <c r="I5" s="50"/>
      <c r="J5" s="50"/>
      <c r="K5" s="50"/>
      <c r="L5" s="50"/>
      <c r="M5" s="50"/>
      <c r="N5" s="50"/>
    </row>
    <row r="6" spans="1:15" ht="15" customHeight="1">
      <c r="A6" s="51" t="s">
        <v>59</v>
      </c>
      <c r="B6" s="51" t="s">
        <v>62</v>
      </c>
      <c r="C6" s="51" t="s">
        <v>60</v>
      </c>
      <c r="D6" s="110" t="s">
        <v>61</v>
      </c>
      <c r="E6" s="51" t="s">
        <v>61</v>
      </c>
      <c r="F6" s="51" t="s">
        <v>59</v>
      </c>
      <c r="G6" s="51" t="s">
        <v>60</v>
      </c>
      <c r="H6" s="110" t="s">
        <v>59</v>
      </c>
      <c r="I6" s="51" t="s">
        <v>59</v>
      </c>
      <c r="J6" s="51" t="s">
        <v>59</v>
      </c>
      <c r="K6" s="51" t="s">
        <v>59</v>
      </c>
      <c r="L6" s="51" t="s">
        <v>59</v>
      </c>
      <c r="M6" s="51" t="s">
        <v>60</v>
      </c>
      <c r="N6" s="51" t="s">
        <v>60</v>
      </c>
    </row>
    <row r="7" spans="1:15" ht="15" customHeight="1">
      <c r="A7" s="51"/>
      <c r="B7" s="51" t="s">
        <v>63</v>
      </c>
      <c r="C7" s="51"/>
      <c r="D7" s="110"/>
      <c r="E7" s="51"/>
      <c r="F7" s="51"/>
      <c r="G7" s="51"/>
      <c r="H7" s="110"/>
      <c r="I7" s="51"/>
      <c r="J7" s="51"/>
      <c r="K7" s="51"/>
      <c r="L7" s="51"/>
      <c r="M7" s="51"/>
      <c r="N7" s="51"/>
    </row>
    <row r="8" spans="1:15" ht="15" customHeight="1">
      <c r="A8" s="50"/>
      <c r="B8" s="50"/>
      <c r="C8" s="50"/>
      <c r="D8" s="112"/>
      <c r="E8" s="50"/>
      <c r="F8" s="52" t="s">
        <v>66</v>
      </c>
      <c r="G8" s="52" t="s">
        <v>67</v>
      </c>
      <c r="H8" s="112"/>
      <c r="I8" s="50"/>
      <c r="J8" s="50"/>
      <c r="K8" s="50"/>
      <c r="L8" s="50"/>
      <c r="M8" s="50"/>
      <c r="N8" s="50"/>
    </row>
    <row r="9" spans="1:15">
      <c r="A9" s="53"/>
      <c r="B9" s="53"/>
      <c r="C9" s="53"/>
      <c r="D9" s="54"/>
      <c r="E9" s="55"/>
      <c r="F9" s="56">
        <v>42004</v>
      </c>
      <c r="G9" s="57">
        <v>10</v>
      </c>
      <c r="H9" s="58"/>
      <c r="I9" s="53"/>
      <c r="J9" s="53"/>
      <c r="K9" s="53"/>
      <c r="L9" s="53"/>
      <c r="M9" s="53"/>
      <c r="N9" s="53"/>
    </row>
    <row r="10" spans="1:15" ht="15.75" thickBot="1">
      <c r="A10" s="59" t="s">
        <v>0</v>
      </c>
      <c r="B10" s="130" t="s">
        <v>10</v>
      </c>
      <c r="C10" s="130" t="s">
        <v>11</v>
      </c>
      <c r="D10" s="131" t="s">
        <v>1</v>
      </c>
      <c r="E10" s="132" t="s">
        <v>2</v>
      </c>
      <c r="F10" s="132" t="s">
        <v>3</v>
      </c>
      <c r="G10" s="130" t="s">
        <v>7</v>
      </c>
      <c r="H10" s="133" t="s">
        <v>6</v>
      </c>
      <c r="I10" s="132" t="s">
        <v>65</v>
      </c>
      <c r="J10" s="130" t="s">
        <v>4</v>
      </c>
      <c r="K10" s="130" t="s">
        <v>5</v>
      </c>
      <c r="L10" s="130" t="s">
        <v>8</v>
      </c>
      <c r="M10" s="130" t="s">
        <v>49</v>
      </c>
      <c r="N10" s="132" t="s">
        <v>47</v>
      </c>
    </row>
    <row r="11" spans="1:15" s="115" customFormat="1" ht="15.75">
      <c r="A11" s="113">
        <v>1001</v>
      </c>
      <c r="B11" s="118">
        <v>36234</v>
      </c>
      <c r="C11" s="119" t="s">
        <v>21</v>
      </c>
      <c r="D11" s="120">
        <v>200210</v>
      </c>
      <c r="E11" s="121">
        <f t="shared" ref="E11:E74" si="0">D11/Annual_Hrs</f>
        <v>96.254807692307693</v>
      </c>
      <c r="F11" s="122">
        <f>YEARFRAC(B11,F9)</f>
        <v>15.794444444444444</v>
      </c>
      <c r="G11" s="123">
        <v>19</v>
      </c>
      <c r="H11" s="124">
        <v>56</v>
      </c>
      <c r="I11" s="125" t="str">
        <f>IF(F11&gt;=10,"Yes","No")</f>
        <v>Yes</v>
      </c>
      <c r="J11" s="126">
        <v>3</v>
      </c>
      <c r="K11" s="126">
        <v>1</v>
      </c>
      <c r="L11" s="126">
        <v>2</v>
      </c>
      <c r="M11" s="127" t="s">
        <v>51</v>
      </c>
      <c r="N11" s="127" t="str">
        <f>VLOOKUP(M11,F386:G389,2,FALSE)</f>
        <v>Northeast</v>
      </c>
      <c r="O11" s="114"/>
    </row>
    <row r="12" spans="1:15" s="115" customFormat="1" ht="15.75">
      <c r="A12" s="113">
        <v>1002</v>
      </c>
      <c r="B12" s="118">
        <v>36234</v>
      </c>
      <c r="C12" s="134" t="s">
        <v>27</v>
      </c>
      <c r="D12" s="120">
        <v>79723</v>
      </c>
      <c r="E12" s="121">
        <f t="shared" si="0"/>
        <v>38.328365384615381</v>
      </c>
      <c r="F12" s="122">
        <f>YEARFRAC(B12,F9)</f>
        <v>15.794444444444444</v>
      </c>
      <c r="G12" s="123">
        <v>16</v>
      </c>
      <c r="H12" s="124">
        <v>45</v>
      </c>
      <c r="I12" s="125" t="str">
        <f>IF(F12&gt;=10,"Yes","No")</f>
        <v>Yes</v>
      </c>
      <c r="J12" s="126">
        <v>3</v>
      </c>
      <c r="K12" s="126">
        <v>1</v>
      </c>
      <c r="L12" s="126">
        <v>2</v>
      </c>
      <c r="M12" s="127" t="s">
        <v>51</v>
      </c>
      <c r="N12" s="127" t="str">
        <f>VLOOKUP(M12,F387:G390,2,FALSE)</f>
        <v>Northeast</v>
      </c>
      <c r="O12" s="114"/>
    </row>
    <row r="13" spans="1:15" ht="15.75">
      <c r="A13" s="62">
        <v>1003</v>
      </c>
      <c r="B13" s="118">
        <v>36234</v>
      </c>
      <c r="C13" s="119" t="s">
        <v>27</v>
      </c>
      <c r="D13" s="120">
        <v>66750</v>
      </c>
      <c r="E13" s="121">
        <f t="shared" si="0"/>
        <v>32.091346153846153</v>
      </c>
      <c r="F13" s="122">
        <f>YEARFRAC(B13,F9)</f>
        <v>15.794444444444444</v>
      </c>
      <c r="G13" s="123">
        <v>12</v>
      </c>
      <c r="H13" s="124">
        <v>29</v>
      </c>
      <c r="I13" s="125"/>
      <c r="J13" s="126">
        <v>1</v>
      </c>
      <c r="K13" s="126">
        <v>1</v>
      </c>
      <c r="L13" s="126">
        <v>1</v>
      </c>
      <c r="M13" s="127" t="s">
        <v>52</v>
      </c>
      <c r="N13" s="127" t="str">
        <f>VLOOKUP(M13,F388:G390,2,FALSE)</f>
        <v>Midwest</v>
      </c>
    </row>
    <row r="14" spans="1:15" ht="15.75">
      <c r="A14" s="62">
        <v>1004</v>
      </c>
      <c r="B14" s="118">
        <v>36234</v>
      </c>
      <c r="C14" s="119" t="s">
        <v>27</v>
      </c>
      <c r="D14" s="120">
        <v>31924</v>
      </c>
      <c r="E14" s="121">
        <f t="shared" si="0"/>
        <v>15.348076923076922</v>
      </c>
      <c r="F14" s="122">
        <f>YEARFRAC(B14,F9)</f>
        <v>15.794444444444444</v>
      </c>
      <c r="G14" s="123">
        <v>12</v>
      </c>
      <c r="H14" s="124">
        <v>24</v>
      </c>
      <c r="I14" s="125"/>
      <c r="J14" s="126">
        <v>3</v>
      </c>
      <c r="K14" s="126">
        <v>1</v>
      </c>
      <c r="L14" s="126">
        <v>2</v>
      </c>
      <c r="M14" s="127" t="s">
        <v>48</v>
      </c>
      <c r="N14" s="127" t="str">
        <f>VLOOKUP(M14,F389:G390,2,FALSE)</f>
        <v>C-Plains</v>
      </c>
    </row>
    <row r="15" spans="1:15" s="115" customFormat="1" ht="15.75">
      <c r="A15" s="113">
        <v>1005</v>
      </c>
      <c r="B15" s="118">
        <v>36234</v>
      </c>
      <c r="C15" s="119" t="s">
        <v>27</v>
      </c>
      <c r="D15" s="120">
        <v>42687</v>
      </c>
      <c r="E15" s="121">
        <f t="shared" si="0"/>
        <v>20.522596153846155</v>
      </c>
      <c r="F15" s="122">
        <f>YEARFRAC(B15,F9)</f>
        <v>15.794444444444444</v>
      </c>
      <c r="G15" s="123">
        <v>14</v>
      </c>
      <c r="H15" s="124">
        <v>35</v>
      </c>
      <c r="I15" s="125"/>
      <c r="J15" s="126">
        <v>3</v>
      </c>
      <c r="K15" s="126">
        <v>1</v>
      </c>
      <c r="L15" s="126">
        <v>1</v>
      </c>
      <c r="M15" s="127" t="s">
        <v>51</v>
      </c>
      <c r="N15" s="127" t="str">
        <f>VLOOKUP(M15,F386:G389,2,FALSE)</f>
        <v>Northeast</v>
      </c>
      <c r="O15" s="114"/>
    </row>
    <row r="16" spans="1:15" ht="15.75">
      <c r="A16" s="62">
        <v>1006</v>
      </c>
      <c r="B16" s="118">
        <v>36234</v>
      </c>
      <c r="C16" s="119" t="s">
        <v>27</v>
      </c>
      <c r="D16" s="120">
        <v>50307</v>
      </c>
      <c r="E16" s="121">
        <f t="shared" si="0"/>
        <v>24.186057692307692</v>
      </c>
      <c r="F16" s="122">
        <f>YEARFRAC(B16,F9)</f>
        <v>15.794444444444444</v>
      </c>
      <c r="G16" s="123">
        <v>14</v>
      </c>
      <c r="H16" s="124">
        <v>41</v>
      </c>
      <c r="I16" s="125"/>
      <c r="J16" s="126">
        <v>3</v>
      </c>
      <c r="K16" s="126">
        <v>1</v>
      </c>
      <c r="L16" s="126">
        <v>1</v>
      </c>
      <c r="M16" s="127" t="s">
        <v>52</v>
      </c>
      <c r="N16" s="127" t="str">
        <f>VLOOKUP(M16,F386:G389,2,FALSE)</f>
        <v>Midwest</v>
      </c>
    </row>
    <row r="17" spans="1:15" ht="15.75">
      <c r="A17" s="109">
        <v>1014</v>
      </c>
      <c r="B17" s="135">
        <v>36234</v>
      </c>
      <c r="C17" s="134" t="s">
        <v>27</v>
      </c>
      <c r="D17" s="120">
        <v>87818</v>
      </c>
      <c r="E17" s="121">
        <f t="shared" si="0"/>
        <v>42.220192307692308</v>
      </c>
      <c r="F17" s="122">
        <f>YEARFRAC(B17,F9)</f>
        <v>15.794444444444444</v>
      </c>
      <c r="G17" s="123">
        <v>16</v>
      </c>
      <c r="H17" s="124">
        <v>40</v>
      </c>
      <c r="I17" s="136"/>
      <c r="J17" s="137">
        <v>4</v>
      </c>
      <c r="K17" s="137">
        <v>2</v>
      </c>
      <c r="L17" s="137">
        <v>1</v>
      </c>
      <c r="M17" s="138" t="s">
        <v>52</v>
      </c>
      <c r="N17" s="138" t="str">
        <f>VLOOKUP(M17,F386:G389,2,FALSE)</f>
        <v>Midwest</v>
      </c>
    </row>
    <row r="18" spans="1:15" s="115" customFormat="1" ht="15.75">
      <c r="A18" s="113">
        <v>1015</v>
      </c>
      <c r="B18" s="118">
        <v>36234</v>
      </c>
      <c r="C18" s="119" t="s">
        <v>27</v>
      </c>
      <c r="D18" s="120">
        <v>31250</v>
      </c>
      <c r="E18" s="121">
        <f t="shared" si="0"/>
        <v>15.024038461538462</v>
      </c>
      <c r="F18" s="122">
        <f>YEARFRAC(B18,F9)</f>
        <v>15.794444444444444</v>
      </c>
      <c r="G18" s="123">
        <v>14</v>
      </c>
      <c r="H18" s="124">
        <v>26</v>
      </c>
      <c r="I18" s="125"/>
      <c r="J18" s="126">
        <v>3</v>
      </c>
      <c r="K18" s="126">
        <v>1</v>
      </c>
      <c r="L18" s="126">
        <v>2</v>
      </c>
      <c r="M18" s="127" t="s">
        <v>51</v>
      </c>
      <c r="N18" s="127" t="str">
        <f>VLOOKUP(M18,F386:G389,2,FALSE)</f>
        <v>Northeast</v>
      </c>
      <c r="O18" s="114"/>
    </row>
    <row r="19" spans="1:15" ht="15.75">
      <c r="A19" s="109">
        <v>1016</v>
      </c>
      <c r="B19" s="118">
        <v>36234</v>
      </c>
      <c r="C19" s="119" t="s">
        <v>27</v>
      </c>
      <c r="D19" s="120">
        <v>42719</v>
      </c>
      <c r="E19" s="121">
        <f t="shared" si="0"/>
        <v>20.537980769230771</v>
      </c>
      <c r="F19" s="122">
        <f>YEARFRAC(B19,F9)</f>
        <v>15.794444444444444</v>
      </c>
      <c r="G19" s="123">
        <v>12</v>
      </c>
      <c r="H19" s="124">
        <v>35</v>
      </c>
      <c r="I19" s="125"/>
      <c r="J19" s="126">
        <v>3</v>
      </c>
      <c r="K19" s="126">
        <v>1</v>
      </c>
      <c r="L19" s="126">
        <v>2</v>
      </c>
      <c r="M19" s="127" t="s">
        <v>48</v>
      </c>
      <c r="N19" s="127" t="str">
        <f>VLOOKUP(M19,F386:G389,2,FALSE)</f>
        <v>C-Plains</v>
      </c>
    </row>
    <row r="20" spans="1:15" s="115" customFormat="1" ht="15.75">
      <c r="A20" s="116">
        <v>1018</v>
      </c>
      <c r="B20" s="118">
        <v>36234</v>
      </c>
      <c r="C20" s="119" t="s">
        <v>27</v>
      </c>
      <c r="D20" s="120">
        <v>42836</v>
      </c>
      <c r="E20" s="121">
        <f t="shared" si="0"/>
        <v>20.594230769230769</v>
      </c>
      <c r="F20" s="122">
        <f>YEARFRAC(B20,F9)</f>
        <v>15.794444444444444</v>
      </c>
      <c r="G20" s="123">
        <v>16</v>
      </c>
      <c r="H20" s="124">
        <v>32</v>
      </c>
      <c r="I20" s="136"/>
      <c r="J20" s="137">
        <v>3</v>
      </c>
      <c r="K20" s="137">
        <v>2</v>
      </c>
      <c r="L20" s="137">
        <v>2</v>
      </c>
      <c r="M20" s="138" t="s">
        <v>51</v>
      </c>
      <c r="N20" s="138" t="str">
        <f>VLOOKUP(M20,F386:G389,2,FALSE)</f>
        <v>Northeast</v>
      </c>
      <c r="O20" s="114"/>
    </row>
    <row r="21" spans="1:15" ht="15.75">
      <c r="A21" s="62">
        <v>1018</v>
      </c>
      <c r="B21" s="118">
        <v>36234</v>
      </c>
      <c r="C21" s="119" t="s">
        <v>27</v>
      </c>
      <c r="D21" s="120">
        <v>32157</v>
      </c>
      <c r="E21" s="121">
        <f t="shared" si="0"/>
        <v>15.460096153846154</v>
      </c>
      <c r="F21" s="122">
        <f>YEARFRAC(B21,F9)</f>
        <v>15.794444444444444</v>
      </c>
      <c r="G21" s="123">
        <v>12</v>
      </c>
      <c r="H21" s="124">
        <v>24</v>
      </c>
      <c r="I21" s="125"/>
      <c r="J21" s="126">
        <v>3</v>
      </c>
      <c r="K21" s="126">
        <v>2</v>
      </c>
      <c r="L21" s="126">
        <v>1</v>
      </c>
      <c r="M21" s="127" t="s">
        <v>48</v>
      </c>
      <c r="N21" s="127" t="str">
        <f>VLOOKUP(M21,F386:G389,2,FALSE)</f>
        <v>C-Plains</v>
      </c>
    </row>
    <row r="22" spans="1:15" ht="15.75">
      <c r="A22" s="62">
        <v>1019</v>
      </c>
      <c r="B22" s="118">
        <v>36234</v>
      </c>
      <c r="C22" s="119" t="s">
        <v>14</v>
      </c>
      <c r="D22" s="120">
        <v>48317</v>
      </c>
      <c r="E22" s="121">
        <f t="shared" si="0"/>
        <v>23.229326923076922</v>
      </c>
      <c r="F22" s="122">
        <f>YEARFRAC(B22,F9)</f>
        <v>15.794444444444444</v>
      </c>
      <c r="G22" s="123">
        <v>12</v>
      </c>
      <c r="H22" s="124">
        <v>38</v>
      </c>
      <c r="I22" s="125"/>
      <c r="J22" s="126">
        <v>3</v>
      </c>
      <c r="K22" s="126">
        <v>1</v>
      </c>
      <c r="L22" s="126">
        <v>1</v>
      </c>
      <c r="M22" s="127" t="s">
        <v>48</v>
      </c>
      <c r="N22" s="127" t="str">
        <f>VLOOKUP(M22,F386:G389,2,FALSE)</f>
        <v>C-Plains</v>
      </c>
    </row>
    <row r="23" spans="1:15" ht="15.75">
      <c r="A23" s="62">
        <v>1024</v>
      </c>
      <c r="B23" s="118">
        <v>36234</v>
      </c>
      <c r="C23" s="119" t="s">
        <v>14</v>
      </c>
      <c r="D23" s="120">
        <v>33005</v>
      </c>
      <c r="E23" s="121">
        <f t="shared" si="0"/>
        <v>15.867788461538462</v>
      </c>
      <c r="F23" s="122">
        <f>YEARFRAC(B23,F9)</f>
        <v>15.794444444444444</v>
      </c>
      <c r="G23" s="123">
        <v>12</v>
      </c>
      <c r="H23" s="124">
        <v>26</v>
      </c>
      <c r="I23" s="125"/>
      <c r="J23" s="126">
        <v>3</v>
      </c>
      <c r="K23" s="126">
        <v>1</v>
      </c>
      <c r="L23" s="126">
        <v>1</v>
      </c>
      <c r="M23" s="127" t="s">
        <v>52</v>
      </c>
      <c r="N23" s="127" t="str">
        <f>VLOOKUP(M23,F386:G389,2,FALSE)</f>
        <v>Midwest</v>
      </c>
    </row>
    <row r="24" spans="1:15" ht="15.75">
      <c r="A24" s="62">
        <v>1036</v>
      </c>
      <c r="B24" s="118">
        <v>36234</v>
      </c>
      <c r="C24" s="119" t="s">
        <v>14</v>
      </c>
      <c r="D24" s="120">
        <v>57822</v>
      </c>
      <c r="E24" s="121">
        <f t="shared" si="0"/>
        <v>27.799038461538462</v>
      </c>
      <c r="F24" s="122">
        <f>YEARFRAC(B24,F9)</f>
        <v>15.794444444444444</v>
      </c>
      <c r="G24" s="123">
        <v>16</v>
      </c>
      <c r="H24" s="124">
        <v>51</v>
      </c>
      <c r="I24" s="125" t="str">
        <f>IF(F24&gt;=10,"Yes","No")</f>
        <v>Yes</v>
      </c>
      <c r="J24" s="126">
        <v>2</v>
      </c>
      <c r="K24" s="126">
        <v>1</v>
      </c>
      <c r="L24" s="126">
        <v>1</v>
      </c>
      <c r="M24" s="127" t="s">
        <v>48</v>
      </c>
      <c r="N24" s="127" t="str">
        <f>VLOOKUP(M24,F386:G389,2,FALSE)</f>
        <v>C-Plains</v>
      </c>
    </row>
    <row r="25" spans="1:15" s="115" customFormat="1" ht="15.75">
      <c r="A25" s="116">
        <v>1038</v>
      </c>
      <c r="B25" s="135">
        <v>36234</v>
      </c>
      <c r="C25" s="134" t="s">
        <v>14</v>
      </c>
      <c r="D25" s="120">
        <v>65451</v>
      </c>
      <c r="E25" s="121">
        <f t="shared" si="0"/>
        <v>31.466826923076923</v>
      </c>
      <c r="F25" s="122">
        <f>YEARFRAC(B25,F9)</f>
        <v>15.794444444444444</v>
      </c>
      <c r="G25" s="123">
        <v>16</v>
      </c>
      <c r="H25" s="124">
        <v>32</v>
      </c>
      <c r="I25" s="136"/>
      <c r="J25" s="137">
        <v>2</v>
      </c>
      <c r="K25" s="137">
        <v>1</v>
      </c>
      <c r="L25" s="137">
        <v>1</v>
      </c>
      <c r="M25" s="138" t="s">
        <v>51</v>
      </c>
      <c r="N25" s="138" t="str">
        <f>VLOOKUP(M25,F386:G389,2,FALSE)</f>
        <v>Northeast</v>
      </c>
      <c r="O25" s="114"/>
    </row>
    <row r="26" spans="1:15" ht="15.75">
      <c r="A26" s="62">
        <v>1043</v>
      </c>
      <c r="B26" s="118">
        <v>36234</v>
      </c>
      <c r="C26" s="119" t="s">
        <v>31</v>
      </c>
      <c r="D26" s="120">
        <v>26168</v>
      </c>
      <c r="E26" s="121">
        <f t="shared" si="0"/>
        <v>12.580769230769231</v>
      </c>
      <c r="F26" s="122">
        <f>YEARFRAC(B26,F9)</f>
        <v>15.794444444444444</v>
      </c>
      <c r="G26" s="123">
        <v>12</v>
      </c>
      <c r="H26" s="124">
        <v>27</v>
      </c>
      <c r="I26" s="125"/>
      <c r="J26" s="126">
        <v>3</v>
      </c>
      <c r="K26" s="126">
        <v>1</v>
      </c>
      <c r="L26" s="126">
        <v>1</v>
      </c>
      <c r="M26" s="127" t="s">
        <v>52</v>
      </c>
      <c r="N26" s="127" t="str">
        <f>VLOOKUP(M26,F386:G389,2,FALSE)</f>
        <v>Midwest</v>
      </c>
    </row>
    <row r="27" spans="1:15" ht="15.75">
      <c r="A27" s="62">
        <v>1048</v>
      </c>
      <c r="B27" s="118">
        <v>36234</v>
      </c>
      <c r="C27" s="119" t="s">
        <v>31</v>
      </c>
      <c r="D27" s="120">
        <v>31655</v>
      </c>
      <c r="E27" s="121">
        <f t="shared" si="0"/>
        <v>15.21875</v>
      </c>
      <c r="F27" s="122">
        <f>YEARFRAC(B27,F9)</f>
        <v>15.794444444444444</v>
      </c>
      <c r="G27" s="123">
        <v>12</v>
      </c>
      <c r="H27" s="124">
        <v>20</v>
      </c>
      <c r="I27" s="125"/>
      <c r="J27" s="126">
        <v>1</v>
      </c>
      <c r="K27" s="126">
        <v>2</v>
      </c>
      <c r="L27" s="126">
        <v>2</v>
      </c>
      <c r="M27" s="127" t="s">
        <v>52</v>
      </c>
      <c r="N27" s="127" t="str">
        <f>VLOOKUP(M27,F386:G389,2,FALSE)</f>
        <v>Midwest</v>
      </c>
    </row>
    <row r="28" spans="1:15" s="115" customFormat="1" ht="15.75">
      <c r="A28" s="113">
        <v>1049</v>
      </c>
      <c r="B28" s="139">
        <v>36310</v>
      </c>
      <c r="C28" s="119" t="s">
        <v>31</v>
      </c>
      <c r="D28" s="120">
        <v>88421</v>
      </c>
      <c r="E28" s="121">
        <f t="shared" si="0"/>
        <v>42.510096153846156</v>
      </c>
      <c r="F28" s="122">
        <f>YEARFRAC(B28,F9)</f>
        <v>15.583333333333334</v>
      </c>
      <c r="G28" s="123">
        <v>19</v>
      </c>
      <c r="H28" s="124">
        <v>41</v>
      </c>
      <c r="I28" s="125" t="str">
        <f>IF(F28&gt;=10,"Yes","No")</f>
        <v>Yes</v>
      </c>
      <c r="J28" s="126">
        <v>3</v>
      </c>
      <c r="K28" s="126">
        <v>1</v>
      </c>
      <c r="L28" s="126">
        <v>1</v>
      </c>
      <c r="M28" s="127" t="s">
        <v>51</v>
      </c>
      <c r="N28" s="127" t="str">
        <f>VLOOKUP(M28,F386:G389,2,FALSE)</f>
        <v>Northeast</v>
      </c>
      <c r="O28" s="114"/>
    </row>
    <row r="29" spans="1:15" s="115" customFormat="1" ht="15.75">
      <c r="A29" s="113">
        <v>1053</v>
      </c>
      <c r="B29" s="140">
        <v>36403</v>
      </c>
      <c r="C29" s="119" t="s">
        <v>31</v>
      </c>
      <c r="D29" s="120">
        <v>30241</v>
      </c>
      <c r="E29" s="121">
        <f t="shared" si="0"/>
        <v>14.538942307692308</v>
      </c>
      <c r="F29" s="122">
        <f>YEARFRAC(B29,F9)</f>
        <v>15.333333333333334</v>
      </c>
      <c r="G29" s="123">
        <v>12</v>
      </c>
      <c r="H29" s="124">
        <v>20</v>
      </c>
      <c r="I29" s="125"/>
      <c r="J29" s="126">
        <v>3</v>
      </c>
      <c r="K29" s="126">
        <v>1</v>
      </c>
      <c r="L29" s="126">
        <v>2</v>
      </c>
      <c r="M29" s="127" t="s">
        <v>51</v>
      </c>
      <c r="N29" s="127" t="str">
        <f>VLOOKUP(M29,F386:G389,2,FALSE)</f>
        <v>Northeast</v>
      </c>
      <c r="O29" s="114"/>
    </row>
    <row r="30" spans="1:15" ht="15.75">
      <c r="A30" s="62">
        <v>1053</v>
      </c>
      <c r="B30" s="118">
        <v>36509</v>
      </c>
      <c r="C30" s="119" t="s">
        <v>31</v>
      </c>
      <c r="D30" s="120">
        <v>35293</v>
      </c>
      <c r="E30" s="121">
        <f t="shared" si="0"/>
        <v>16.967788461538461</v>
      </c>
      <c r="F30" s="122">
        <f>YEARFRAC(B30,F9)</f>
        <v>15.044444444444444</v>
      </c>
      <c r="G30" s="123">
        <v>12</v>
      </c>
      <c r="H30" s="124">
        <v>30</v>
      </c>
      <c r="I30" s="125"/>
      <c r="J30" s="126">
        <v>1</v>
      </c>
      <c r="K30" s="126">
        <v>1</v>
      </c>
      <c r="L30" s="126">
        <v>1</v>
      </c>
      <c r="M30" s="127" t="s">
        <v>52</v>
      </c>
      <c r="N30" s="127" t="str">
        <f>VLOOKUP(M30,F386:G389,2,FALSE)</f>
        <v>Midwest</v>
      </c>
    </row>
    <row r="31" spans="1:15" s="115" customFormat="1" ht="15.75">
      <c r="A31" s="113">
        <v>1055</v>
      </c>
      <c r="B31" s="139">
        <v>36540</v>
      </c>
      <c r="C31" s="119" t="s">
        <v>22</v>
      </c>
      <c r="D31" s="120">
        <v>99836</v>
      </c>
      <c r="E31" s="121">
        <f t="shared" si="0"/>
        <v>47.998076923076923</v>
      </c>
      <c r="F31" s="122">
        <f>YEARFRAC(B31,F9)</f>
        <v>14.96111111111111</v>
      </c>
      <c r="G31" s="123">
        <v>19</v>
      </c>
      <c r="H31" s="124">
        <v>45</v>
      </c>
      <c r="I31" s="125" t="str">
        <f>IF(F31&gt;=10,"Yes","No")</f>
        <v>Yes</v>
      </c>
      <c r="J31" s="126">
        <v>3</v>
      </c>
      <c r="K31" s="126">
        <v>2</v>
      </c>
      <c r="L31" s="126">
        <v>1</v>
      </c>
      <c r="M31" s="127" t="s">
        <v>51</v>
      </c>
      <c r="N31" s="127" t="str">
        <f>VLOOKUP(M31,F386:G389,2,FALSE)</f>
        <v>Northeast</v>
      </c>
      <c r="O31" s="114"/>
    </row>
    <row r="32" spans="1:15" s="115" customFormat="1" ht="15.75">
      <c r="A32" s="113">
        <v>1055</v>
      </c>
      <c r="B32" s="139">
        <v>36572</v>
      </c>
      <c r="C32" s="119" t="s">
        <v>24</v>
      </c>
      <c r="D32" s="120">
        <v>56663</v>
      </c>
      <c r="E32" s="121">
        <f t="shared" si="0"/>
        <v>27.241826923076925</v>
      </c>
      <c r="F32" s="122">
        <f>YEARFRAC(B32,F9)</f>
        <v>14.875</v>
      </c>
      <c r="G32" s="123">
        <v>16</v>
      </c>
      <c r="H32" s="124">
        <v>50</v>
      </c>
      <c r="I32" s="125" t="str">
        <f>IF(F32&gt;=10,"Yes","No")</f>
        <v>Yes</v>
      </c>
      <c r="J32" s="126">
        <v>3</v>
      </c>
      <c r="K32" s="126">
        <v>1</v>
      </c>
      <c r="L32" s="126">
        <v>1</v>
      </c>
      <c r="M32" s="127" t="s">
        <v>51</v>
      </c>
      <c r="N32" s="127" t="str">
        <f>VLOOKUP(M32,F386:G389,2,FALSE)</f>
        <v>Northeast</v>
      </c>
      <c r="O32" s="114"/>
    </row>
    <row r="33" spans="1:15" ht="15.75">
      <c r="A33" s="62">
        <v>1055</v>
      </c>
      <c r="B33" s="118">
        <v>36621</v>
      </c>
      <c r="C33" s="119" t="s">
        <v>23</v>
      </c>
      <c r="D33" s="120">
        <v>57385</v>
      </c>
      <c r="E33" s="121">
        <f t="shared" si="0"/>
        <v>27.588942307692307</v>
      </c>
      <c r="F33" s="122">
        <f>YEARFRAC(B33,F9)</f>
        <v>14.738888888888889</v>
      </c>
      <c r="G33" s="123">
        <v>16</v>
      </c>
      <c r="H33" s="124">
        <v>50</v>
      </c>
      <c r="I33" s="125" t="str">
        <f>IF(F33&gt;=10,"Yes","No")</f>
        <v>Yes</v>
      </c>
      <c r="J33" s="126">
        <v>1</v>
      </c>
      <c r="K33" s="126">
        <v>1</v>
      </c>
      <c r="L33" s="126">
        <v>1</v>
      </c>
      <c r="M33" s="127" t="s">
        <v>52</v>
      </c>
      <c r="N33" s="127" t="str">
        <f>VLOOKUP(M33,F386:G389,2,FALSE)</f>
        <v>Midwest</v>
      </c>
    </row>
    <row r="34" spans="1:15" ht="15.75">
      <c r="A34" s="62">
        <v>1056</v>
      </c>
      <c r="B34" s="118">
        <v>36624</v>
      </c>
      <c r="C34" s="119" t="s">
        <v>15</v>
      </c>
      <c r="D34" s="120">
        <v>48059</v>
      </c>
      <c r="E34" s="121">
        <f t="shared" si="0"/>
        <v>23.105288461538461</v>
      </c>
      <c r="F34" s="122">
        <f>YEARFRAC(B34,F9)</f>
        <v>14.730555555555556</v>
      </c>
      <c r="G34" s="123">
        <v>12</v>
      </c>
      <c r="H34" s="124">
        <v>38</v>
      </c>
      <c r="I34" s="125"/>
      <c r="J34" s="126">
        <v>3</v>
      </c>
      <c r="K34" s="126">
        <v>1</v>
      </c>
      <c r="L34" s="126">
        <v>1</v>
      </c>
      <c r="M34" s="127" t="s">
        <v>52</v>
      </c>
      <c r="N34" s="127" t="str">
        <f>VLOOKUP(M34,F386:G389,2,FALSE)</f>
        <v>Midwest</v>
      </c>
    </row>
    <row r="35" spans="1:15" ht="15.75">
      <c r="A35" s="109">
        <v>1059</v>
      </c>
      <c r="B35" s="135">
        <v>36631</v>
      </c>
      <c r="C35" s="134" t="s">
        <v>15</v>
      </c>
      <c r="D35" s="120">
        <v>46589</v>
      </c>
      <c r="E35" s="121">
        <f t="shared" si="0"/>
        <v>22.398557692307691</v>
      </c>
      <c r="F35" s="122">
        <f>YEARFRAC(B35,F9)</f>
        <v>14.71111111111111</v>
      </c>
      <c r="G35" s="123">
        <v>16</v>
      </c>
      <c r="H35" s="124">
        <v>33</v>
      </c>
      <c r="I35" s="136"/>
      <c r="J35" s="137">
        <v>3</v>
      </c>
      <c r="K35" s="137">
        <v>2</v>
      </c>
      <c r="L35" s="137">
        <v>1</v>
      </c>
      <c r="M35" s="138" t="s">
        <v>48</v>
      </c>
      <c r="N35" s="138" t="str">
        <f>VLOOKUP(M35,F386:G389,2,FALSE)</f>
        <v>C-Plains</v>
      </c>
    </row>
    <row r="36" spans="1:15" ht="15.75">
      <c r="A36" s="62">
        <v>1061</v>
      </c>
      <c r="B36" s="140">
        <v>36646</v>
      </c>
      <c r="C36" s="119" t="s">
        <v>15</v>
      </c>
      <c r="D36" s="120">
        <v>39931</v>
      </c>
      <c r="E36" s="121">
        <f t="shared" si="0"/>
        <v>19.197596153846153</v>
      </c>
      <c r="F36" s="122">
        <f>YEARFRAC(B36,F9)</f>
        <v>14.666666666666666</v>
      </c>
      <c r="G36" s="123">
        <v>12</v>
      </c>
      <c r="H36" s="124">
        <v>34</v>
      </c>
      <c r="I36" s="125"/>
      <c r="J36" s="126">
        <v>1</v>
      </c>
      <c r="K36" s="126">
        <v>1</v>
      </c>
      <c r="L36" s="126">
        <v>1</v>
      </c>
      <c r="M36" s="127" t="s">
        <v>48</v>
      </c>
      <c r="N36" s="127" t="str">
        <f>VLOOKUP(M36,F386:G389,2,FALSE)</f>
        <v>C-Plains</v>
      </c>
    </row>
    <row r="37" spans="1:15" ht="15.75">
      <c r="A37" s="62">
        <v>1062</v>
      </c>
      <c r="B37" s="139">
        <v>36646</v>
      </c>
      <c r="C37" s="119" t="s">
        <v>15</v>
      </c>
      <c r="D37" s="120">
        <v>32238</v>
      </c>
      <c r="E37" s="121">
        <f t="shared" si="0"/>
        <v>15.499038461538461</v>
      </c>
      <c r="F37" s="122">
        <f>YEARFRAC(B37,F9)</f>
        <v>14.666666666666666</v>
      </c>
      <c r="G37" s="123">
        <v>16</v>
      </c>
      <c r="H37" s="124">
        <v>28</v>
      </c>
      <c r="I37" s="125"/>
      <c r="J37" s="126">
        <v>3</v>
      </c>
      <c r="K37" s="126">
        <v>1</v>
      </c>
      <c r="L37" s="126">
        <v>2</v>
      </c>
      <c r="M37" s="127" t="s">
        <v>52</v>
      </c>
      <c r="N37" s="127" t="str">
        <f>VLOOKUP(M37,F386:G389,2,FALSE)</f>
        <v>Midwest</v>
      </c>
    </row>
    <row r="38" spans="1:15" s="115" customFormat="1" ht="15.75">
      <c r="A38" s="113">
        <v>1062</v>
      </c>
      <c r="B38" s="118">
        <v>36646</v>
      </c>
      <c r="C38" s="119" t="s">
        <v>15</v>
      </c>
      <c r="D38" s="120">
        <v>72803</v>
      </c>
      <c r="E38" s="121">
        <f t="shared" si="0"/>
        <v>35.001442307692308</v>
      </c>
      <c r="F38" s="122">
        <f>YEARFRAC(B38,F9)</f>
        <v>14.666666666666666</v>
      </c>
      <c r="G38" s="123">
        <v>14</v>
      </c>
      <c r="H38" s="124">
        <v>35</v>
      </c>
      <c r="I38" s="125"/>
      <c r="J38" s="126">
        <v>3</v>
      </c>
      <c r="K38" s="126">
        <v>1</v>
      </c>
      <c r="L38" s="126">
        <v>1</v>
      </c>
      <c r="M38" s="127" t="s">
        <v>51</v>
      </c>
      <c r="N38" s="127" t="str">
        <f>VLOOKUP(M38,F386:G389,2,FALSE)</f>
        <v>Northeast</v>
      </c>
      <c r="O38" s="114"/>
    </row>
    <row r="39" spans="1:15" ht="15.75">
      <c r="A39" s="62">
        <v>1069</v>
      </c>
      <c r="B39" s="118">
        <v>36647</v>
      </c>
      <c r="C39" s="119" t="s">
        <v>15</v>
      </c>
      <c r="D39" s="120">
        <v>79938</v>
      </c>
      <c r="E39" s="121">
        <f t="shared" si="0"/>
        <v>38.431730769230768</v>
      </c>
      <c r="F39" s="122">
        <f>YEARFRAC(B39,F9)</f>
        <v>14.666666666666666</v>
      </c>
      <c r="G39" s="123">
        <v>16</v>
      </c>
      <c r="H39" s="124">
        <v>35</v>
      </c>
      <c r="I39" s="125"/>
      <c r="J39" s="126">
        <v>2</v>
      </c>
      <c r="K39" s="126">
        <v>2</v>
      </c>
      <c r="L39" s="126">
        <v>1</v>
      </c>
      <c r="M39" s="127" t="s">
        <v>52</v>
      </c>
      <c r="N39" s="127" t="str">
        <f>VLOOKUP(M39,F386:G389,2,FALSE)</f>
        <v>Midwest</v>
      </c>
    </row>
    <row r="40" spans="1:15" ht="15.75">
      <c r="A40" s="62">
        <v>1070</v>
      </c>
      <c r="B40" s="118">
        <v>36647</v>
      </c>
      <c r="C40" s="119" t="s">
        <v>15</v>
      </c>
      <c r="D40" s="120">
        <v>35498</v>
      </c>
      <c r="E40" s="121">
        <f t="shared" si="0"/>
        <v>17.066346153846155</v>
      </c>
      <c r="F40" s="122">
        <f>YEARFRAC(B40,F9)</f>
        <v>14.666666666666666</v>
      </c>
      <c r="G40" s="123">
        <v>12</v>
      </c>
      <c r="H40" s="124">
        <v>31</v>
      </c>
      <c r="I40" s="125"/>
      <c r="J40" s="126">
        <v>3</v>
      </c>
      <c r="K40" s="126">
        <v>1</v>
      </c>
      <c r="L40" s="126">
        <v>1</v>
      </c>
      <c r="M40" s="127" t="s">
        <v>48</v>
      </c>
      <c r="N40" s="127" t="str">
        <f>VLOOKUP(M40,F386:G389,2,FALSE)</f>
        <v>C-Plains</v>
      </c>
    </row>
    <row r="41" spans="1:15" ht="15.75">
      <c r="A41" s="62">
        <v>1071</v>
      </c>
      <c r="B41" s="118">
        <v>36649</v>
      </c>
      <c r="C41" s="119" t="s">
        <v>15</v>
      </c>
      <c r="D41" s="120">
        <v>86238</v>
      </c>
      <c r="E41" s="121">
        <f t="shared" si="0"/>
        <v>41.460576923076921</v>
      </c>
      <c r="F41" s="122">
        <f>YEARFRAC(B41,F9)</f>
        <v>14.661111111111111</v>
      </c>
      <c r="G41" s="123">
        <v>19</v>
      </c>
      <c r="H41" s="124">
        <v>41</v>
      </c>
      <c r="I41" s="125"/>
      <c r="J41" s="126">
        <v>3</v>
      </c>
      <c r="K41" s="126">
        <v>1</v>
      </c>
      <c r="L41" s="126">
        <v>1</v>
      </c>
      <c r="M41" s="127" t="s">
        <v>48</v>
      </c>
      <c r="N41" s="127" t="str">
        <f>VLOOKUP(M41,F386:G389,2,FALSE)</f>
        <v>C-Plains</v>
      </c>
    </row>
    <row r="42" spans="1:15" ht="15.75">
      <c r="A42" s="62">
        <v>1071</v>
      </c>
      <c r="B42" s="118">
        <v>36651</v>
      </c>
      <c r="C42" s="119" t="s">
        <v>15</v>
      </c>
      <c r="D42" s="120">
        <v>87019</v>
      </c>
      <c r="E42" s="121">
        <f t="shared" si="0"/>
        <v>41.836057692307691</v>
      </c>
      <c r="F42" s="122">
        <f>YEARFRAC(B42,F9)</f>
        <v>14.655555555555555</v>
      </c>
      <c r="G42" s="123">
        <v>19</v>
      </c>
      <c r="H42" s="124">
        <v>51</v>
      </c>
      <c r="I42" s="125"/>
      <c r="J42" s="126">
        <v>3</v>
      </c>
      <c r="K42" s="126">
        <v>1</v>
      </c>
      <c r="L42" s="126">
        <v>1</v>
      </c>
      <c r="M42" s="127" t="s">
        <v>52</v>
      </c>
      <c r="N42" s="127" t="str">
        <f>VLOOKUP(M42,F386:G389,2,FALSE)</f>
        <v>Midwest</v>
      </c>
    </row>
    <row r="43" spans="1:15" ht="15.75">
      <c r="A43" s="62">
        <v>1075</v>
      </c>
      <c r="B43" s="118">
        <v>36734</v>
      </c>
      <c r="C43" s="119" t="s">
        <v>15</v>
      </c>
      <c r="D43" s="120">
        <v>34317</v>
      </c>
      <c r="E43" s="121">
        <f t="shared" si="0"/>
        <v>16.498557692307692</v>
      </c>
      <c r="F43" s="122">
        <f>YEARFRAC(B43,F9)</f>
        <v>14.427777777777777</v>
      </c>
      <c r="G43" s="123">
        <v>12</v>
      </c>
      <c r="H43" s="124">
        <v>28</v>
      </c>
      <c r="I43" s="125"/>
      <c r="J43" s="126">
        <v>3</v>
      </c>
      <c r="K43" s="126">
        <v>2</v>
      </c>
      <c r="L43" s="126">
        <v>1</v>
      </c>
      <c r="M43" s="127" t="s">
        <v>48</v>
      </c>
      <c r="N43" s="127" t="str">
        <f>VLOOKUP(M43,F386:G389,2,FALSE)</f>
        <v>C-Plains</v>
      </c>
    </row>
    <row r="44" spans="1:15" s="115" customFormat="1" ht="15.75">
      <c r="A44" s="113">
        <v>1079</v>
      </c>
      <c r="B44" s="118">
        <v>36752</v>
      </c>
      <c r="C44" s="119" t="s">
        <v>15</v>
      </c>
      <c r="D44" s="120">
        <v>51459</v>
      </c>
      <c r="E44" s="121">
        <f t="shared" si="0"/>
        <v>24.739903846153847</v>
      </c>
      <c r="F44" s="122">
        <f>YEARFRAC(B44,F9)</f>
        <v>14.380555555555556</v>
      </c>
      <c r="G44" s="123">
        <v>16</v>
      </c>
      <c r="H44" s="124">
        <v>31</v>
      </c>
      <c r="I44" s="125" t="str">
        <f>IF(F44&gt;=10,"Yes","No")</f>
        <v>Yes</v>
      </c>
      <c r="J44" s="126">
        <v>3</v>
      </c>
      <c r="K44" s="126">
        <v>1</v>
      </c>
      <c r="L44" s="126">
        <v>1</v>
      </c>
      <c r="M44" s="127" t="s">
        <v>51</v>
      </c>
      <c r="N44" s="127" t="str">
        <f>VLOOKUP(M44,F386:G389,2,FALSE)</f>
        <v>Northeast</v>
      </c>
      <c r="O44" s="114"/>
    </row>
    <row r="45" spans="1:15" s="115" customFormat="1" ht="15.75">
      <c r="A45" s="113">
        <v>1083</v>
      </c>
      <c r="B45" s="118">
        <v>36777</v>
      </c>
      <c r="C45" s="119" t="s">
        <v>15</v>
      </c>
      <c r="D45" s="120">
        <v>35396</v>
      </c>
      <c r="E45" s="121">
        <f t="shared" si="0"/>
        <v>17.017307692307693</v>
      </c>
      <c r="F45" s="122">
        <f>YEARFRAC(B45,F9)</f>
        <v>14.313888888888888</v>
      </c>
      <c r="G45" s="123">
        <v>12</v>
      </c>
      <c r="H45" s="124">
        <v>31</v>
      </c>
      <c r="I45" s="125"/>
      <c r="J45" s="126">
        <v>3</v>
      </c>
      <c r="K45" s="126">
        <v>1</v>
      </c>
      <c r="L45" s="126">
        <v>2</v>
      </c>
      <c r="M45" s="127" t="s">
        <v>51</v>
      </c>
      <c r="N45" s="127" t="str">
        <f>VLOOKUP(M45,F386:G389,2,FALSE)</f>
        <v>Northeast</v>
      </c>
      <c r="O45" s="114"/>
    </row>
    <row r="46" spans="1:15" ht="15.75">
      <c r="A46" s="62">
        <v>1083</v>
      </c>
      <c r="B46" s="118">
        <v>36794</v>
      </c>
      <c r="C46" s="119" t="s">
        <v>15</v>
      </c>
      <c r="D46" s="120">
        <v>58771</v>
      </c>
      <c r="E46" s="121">
        <f t="shared" si="0"/>
        <v>28.255288461538463</v>
      </c>
      <c r="F46" s="122">
        <f>YEARFRAC(B46,F9)</f>
        <v>14.266666666666667</v>
      </c>
      <c r="G46" s="123">
        <v>14</v>
      </c>
      <c r="H46" s="124">
        <v>52</v>
      </c>
      <c r="I46" s="125" t="str">
        <f>IF(F46&gt;=10,"Yes","No")</f>
        <v>Yes</v>
      </c>
      <c r="J46" s="126">
        <v>3</v>
      </c>
      <c r="K46" s="126">
        <v>1</v>
      </c>
      <c r="L46" s="126">
        <v>1</v>
      </c>
      <c r="M46" s="127" t="s">
        <v>52</v>
      </c>
      <c r="N46" s="127" t="str">
        <f>VLOOKUP(M46,F386:G389,2,FALSE)</f>
        <v>Midwest</v>
      </c>
    </row>
    <row r="47" spans="1:15" s="115" customFormat="1" ht="15.75">
      <c r="A47" s="113">
        <v>1084</v>
      </c>
      <c r="B47" s="118">
        <v>36799</v>
      </c>
      <c r="C47" s="119" t="s">
        <v>15</v>
      </c>
      <c r="D47" s="120">
        <v>85671</v>
      </c>
      <c r="E47" s="121">
        <f t="shared" si="0"/>
        <v>41.187980769230769</v>
      </c>
      <c r="F47" s="122">
        <f>YEARFRAC(B47,F9)</f>
        <v>14.25</v>
      </c>
      <c r="G47" s="123">
        <v>19</v>
      </c>
      <c r="H47" s="124">
        <v>62</v>
      </c>
      <c r="I47" s="125" t="str">
        <f>IF(F47&gt;=10,"Yes","No")</f>
        <v>Yes</v>
      </c>
      <c r="J47" s="126">
        <v>3</v>
      </c>
      <c r="K47" s="126">
        <v>1</v>
      </c>
      <c r="L47" s="126">
        <v>1</v>
      </c>
      <c r="M47" s="127" t="s">
        <v>51</v>
      </c>
      <c r="N47" s="127" t="str">
        <f>VLOOKUP(M47,F386:G389,2,FALSE)</f>
        <v>Northeast</v>
      </c>
      <c r="O47" s="114"/>
    </row>
    <row r="48" spans="1:15" ht="15.75">
      <c r="A48" s="62">
        <v>1088</v>
      </c>
      <c r="B48" s="140">
        <v>36925</v>
      </c>
      <c r="C48" s="119" t="s">
        <v>15</v>
      </c>
      <c r="D48" s="120">
        <v>83974</v>
      </c>
      <c r="E48" s="121">
        <f t="shared" si="0"/>
        <v>40.372115384615384</v>
      </c>
      <c r="F48" s="122">
        <f>YEARFRAC(B48,F9)</f>
        <v>13.911111111111111</v>
      </c>
      <c r="G48" s="123">
        <v>16</v>
      </c>
      <c r="H48" s="124">
        <v>35</v>
      </c>
      <c r="I48" s="125"/>
      <c r="J48" s="126">
        <v>1</v>
      </c>
      <c r="K48" s="126">
        <v>2</v>
      </c>
      <c r="L48" s="126">
        <v>1</v>
      </c>
      <c r="M48" s="127" t="s">
        <v>48</v>
      </c>
      <c r="N48" s="127" t="str">
        <f>VLOOKUP(M48,F386:G389,2,FALSE)</f>
        <v>C-Plains</v>
      </c>
    </row>
    <row r="49" spans="1:15" ht="15.75">
      <c r="A49" s="62">
        <v>1096</v>
      </c>
      <c r="B49" s="118">
        <v>37024</v>
      </c>
      <c r="C49" s="119" t="s">
        <v>15</v>
      </c>
      <c r="D49" s="120">
        <v>50502</v>
      </c>
      <c r="E49" s="121">
        <f t="shared" si="0"/>
        <v>24.279807692307692</v>
      </c>
      <c r="F49" s="122">
        <f>YEARFRAC(B49,F9)</f>
        <v>13.633333333333333</v>
      </c>
      <c r="G49" s="123">
        <v>12</v>
      </c>
      <c r="H49" s="124">
        <v>42</v>
      </c>
      <c r="I49" s="125"/>
      <c r="J49" s="126">
        <v>3</v>
      </c>
      <c r="K49" s="126">
        <v>1</v>
      </c>
      <c r="L49" s="126">
        <v>1</v>
      </c>
      <c r="M49" s="127" t="s">
        <v>48</v>
      </c>
      <c r="N49" s="127" t="str">
        <f>VLOOKUP(M49,F386:G389,2,FALSE)</f>
        <v>C-Plains</v>
      </c>
    </row>
    <row r="50" spans="1:15" s="115" customFormat="1" ht="15.75">
      <c r="A50" s="113">
        <v>1097</v>
      </c>
      <c r="B50" s="118">
        <v>37024</v>
      </c>
      <c r="C50" s="119" t="s">
        <v>15</v>
      </c>
      <c r="D50" s="120">
        <v>50571</v>
      </c>
      <c r="E50" s="121">
        <f t="shared" si="0"/>
        <v>24.312980769230769</v>
      </c>
      <c r="F50" s="122">
        <f>YEARFRAC(B50,F9)</f>
        <v>13.633333333333333</v>
      </c>
      <c r="G50" s="123">
        <v>12</v>
      </c>
      <c r="H50" s="124">
        <v>43</v>
      </c>
      <c r="I50" s="125"/>
      <c r="J50" s="126">
        <v>1</v>
      </c>
      <c r="K50" s="126">
        <v>1</v>
      </c>
      <c r="L50" s="126">
        <v>1</v>
      </c>
      <c r="M50" s="127" t="s">
        <v>51</v>
      </c>
      <c r="N50" s="127" t="str">
        <f>VLOOKUP(M50,F386:G389,2,FALSE)</f>
        <v>Northeast</v>
      </c>
      <c r="O50" s="114"/>
    </row>
    <row r="51" spans="1:15" s="115" customFormat="1" ht="15.75">
      <c r="A51" s="113">
        <v>1098</v>
      </c>
      <c r="B51" s="118">
        <v>37046</v>
      </c>
      <c r="C51" s="119" t="s">
        <v>15</v>
      </c>
      <c r="D51" s="120">
        <v>62245</v>
      </c>
      <c r="E51" s="121">
        <f t="shared" si="0"/>
        <v>29.92548076923077</v>
      </c>
      <c r="F51" s="122">
        <f>YEARFRAC(B51,F9)</f>
        <v>13.574999999999999</v>
      </c>
      <c r="G51" s="123">
        <v>16</v>
      </c>
      <c r="H51" s="124">
        <v>25</v>
      </c>
      <c r="I51" s="125"/>
      <c r="J51" s="126">
        <v>3</v>
      </c>
      <c r="K51" s="126">
        <v>1</v>
      </c>
      <c r="L51" s="126">
        <v>2</v>
      </c>
      <c r="M51" s="127" t="s">
        <v>51</v>
      </c>
      <c r="N51" s="127" t="str">
        <f>VLOOKUP(M51,F386:G389,2,FALSE)</f>
        <v>Northeast</v>
      </c>
      <c r="O51" s="114"/>
    </row>
    <row r="52" spans="1:15" ht="15.75">
      <c r="A52" s="62">
        <v>1101</v>
      </c>
      <c r="B52" s="118">
        <v>37057</v>
      </c>
      <c r="C52" s="119" t="s">
        <v>15</v>
      </c>
      <c r="D52" s="120">
        <v>55994</v>
      </c>
      <c r="E52" s="121">
        <f t="shared" si="0"/>
        <v>26.920192307692307</v>
      </c>
      <c r="F52" s="122">
        <f>YEARFRAC(B52,F9)</f>
        <v>13.544444444444444</v>
      </c>
      <c r="G52" s="123">
        <v>16</v>
      </c>
      <c r="H52" s="124">
        <v>31</v>
      </c>
      <c r="I52" s="125" t="str">
        <f>IF(F52&gt;=10,"Yes","No")</f>
        <v>Yes</v>
      </c>
      <c r="J52" s="126">
        <v>1</v>
      </c>
      <c r="K52" s="126">
        <v>1</v>
      </c>
      <c r="L52" s="126">
        <v>1</v>
      </c>
      <c r="M52" s="127" t="s">
        <v>48</v>
      </c>
      <c r="N52" s="127" t="str">
        <f>VLOOKUP(M52,F386:G389,2,FALSE)</f>
        <v>C-Plains</v>
      </c>
    </row>
    <row r="53" spans="1:15" s="115" customFormat="1" ht="15.75">
      <c r="A53" s="113">
        <v>1102</v>
      </c>
      <c r="B53" s="139">
        <v>37059</v>
      </c>
      <c r="C53" s="119" t="s">
        <v>46</v>
      </c>
      <c r="D53" s="120">
        <v>88900</v>
      </c>
      <c r="E53" s="121">
        <f t="shared" si="0"/>
        <v>42.740384615384613</v>
      </c>
      <c r="F53" s="122">
        <f>YEARFRAC(B53,F9)</f>
        <v>13.53888888888889</v>
      </c>
      <c r="G53" s="123">
        <v>19</v>
      </c>
      <c r="H53" s="124">
        <v>48</v>
      </c>
      <c r="I53" s="125" t="str">
        <f>IF(F53&gt;=10,"Yes","No")</f>
        <v>Yes</v>
      </c>
      <c r="J53" s="126">
        <v>3</v>
      </c>
      <c r="K53" s="126">
        <v>1</v>
      </c>
      <c r="L53" s="126">
        <v>1</v>
      </c>
      <c r="M53" s="127" t="s">
        <v>51</v>
      </c>
      <c r="N53" s="127" t="str">
        <f>VLOOKUP(M53,F386:G389,2,FALSE)</f>
        <v>Northeast</v>
      </c>
      <c r="O53" s="114"/>
    </row>
    <row r="54" spans="1:15" ht="15.75">
      <c r="A54" s="62">
        <v>1104</v>
      </c>
      <c r="B54" s="118">
        <v>37072</v>
      </c>
      <c r="C54" s="119" t="s">
        <v>64</v>
      </c>
      <c r="D54" s="120">
        <v>52450</v>
      </c>
      <c r="E54" s="121">
        <f t="shared" si="0"/>
        <v>25.216346153846153</v>
      </c>
      <c r="F54" s="122">
        <f>YEARFRAC(B54,F9)</f>
        <v>13.5</v>
      </c>
      <c r="G54" s="123">
        <v>12</v>
      </c>
      <c r="H54" s="124">
        <v>44</v>
      </c>
      <c r="I54" s="125"/>
      <c r="J54" s="126">
        <v>3</v>
      </c>
      <c r="K54" s="126">
        <v>1</v>
      </c>
      <c r="L54" s="126">
        <v>1</v>
      </c>
      <c r="M54" s="127" t="s">
        <v>48</v>
      </c>
      <c r="N54" s="127" t="str">
        <f>VLOOKUP(M54,F386:G389,2,FALSE)</f>
        <v>C-Plains</v>
      </c>
    </row>
    <row r="55" spans="1:15" ht="15.75">
      <c r="A55" s="62">
        <v>1105</v>
      </c>
      <c r="B55" s="139">
        <v>37093</v>
      </c>
      <c r="C55" s="119" t="s">
        <v>64</v>
      </c>
      <c r="D55" s="120">
        <v>32633</v>
      </c>
      <c r="E55" s="121">
        <f t="shared" si="0"/>
        <v>15.688942307692308</v>
      </c>
      <c r="F55" s="122">
        <f>YEARFRAC(B55,F9)</f>
        <v>13.444444444444445</v>
      </c>
      <c r="G55" s="123">
        <v>12</v>
      </c>
      <c r="H55" s="124">
        <v>28</v>
      </c>
      <c r="I55" s="125"/>
      <c r="J55" s="126">
        <v>3</v>
      </c>
      <c r="K55" s="126">
        <v>1</v>
      </c>
      <c r="L55" s="126">
        <v>2</v>
      </c>
      <c r="M55" s="127" t="s">
        <v>48</v>
      </c>
      <c r="N55" s="127" t="str">
        <f>VLOOKUP(M55,F386:G389,2,FALSE)</f>
        <v>C-Plains</v>
      </c>
    </row>
    <row r="56" spans="1:15" ht="15.75">
      <c r="A56" s="62">
        <v>1106</v>
      </c>
      <c r="B56" s="140">
        <v>37164</v>
      </c>
      <c r="C56" s="119" t="s">
        <v>64</v>
      </c>
      <c r="D56" s="120">
        <v>55744</v>
      </c>
      <c r="E56" s="121">
        <f t="shared" si="0"/>
        <v>26.8</v>
      </c>
      <c r="F56" s="122">
        <f>YEARFRAC(B56,F9)</f>
        <v>13.25</v>
      </c>
      <c r="G56" s="123">
        <v>12</v>
      </c>
      <c r="H56" s="124">
        <v>48</v>
      </c>
      <c r="I56" s="125" t="str">
        <f>IF(F56&gt;=10,"Yes","No")</f>
        <v>Yes</v>
      </c>
      <c r="J56" s="126">
        <v>1</v>
      </c>
      <c r="K56" s="126">
        <v>1</v>
      </c>
      <c r="L56" s="126">
        <v>1</v>
      </c>
      <c r="M56" s="127" t="s">
        <v>52</v>
      </c>
      <c r="N56" s="127" t="str">
        <f>VLOOKUP(M56,F386:G389,2,FALSE)</f>
        <v>Midwest</v>
      </c>
    </row>
    <row r="57" spans="1:15" ht="15.75">
      <c r="A57" s="62">
        <v>1108</v>
      </c>
      <c r="B57" s="139">
        <v>37180</v>
      </c>
      <c r="C57" s="119" t="s">
        <v>64</v>
      </c>
      <c r="D57" s="120">
        <v>27403</v>
      </c>
      <c r="E57" s="121">
        <f t="shared" si="0"/>
        <v>13.174519230769231</v>
      </c>
      <c r="F57" s="122">
        <f>YEARFRAC(B57,F9)</f>
        <v>13.208333333333334</v>
      </c>
      <c r="G57" s="123">
        <v>12</v>
      </c>
      <c r="H57" s="124">
        <v>29</v>
      </c>
      <c r="I57" s="125"/>
      <c r="J57" s="126">
        <v>3</v>
      </c>
      <c r="K57" s="126">
        <v>1</v>
      </c>
      <c r="L57" s="126">
        <v>2</v>
      </c>
      <c r="M57" s="127" t="s">
        <v>52</v>
      </c>
      <c r="N57" s="127" t="str">
        <f>VLOOKUP(M57,F386:G389,2,FALSE)</f>
        <v>Midwest</v>
      </c>
    </row>
    <row r="58" spans="1:15" ht="15.75">
      <c r="A58" s="62">
        <v>1109</v>
      </c>
      <c r="B58" s="139">
        <v>37189</v>
      </c>
      <c r="C58" s="119" t="s">
        <v>64</v>
      </c>
      <c r="D58" s="120">
        <v>49201</v>
      </c>
      <c r="E58" s="121">
        <f t="shared" si="0"/>
        <v>23.654326923076923</v>
      </c>
      <c r="F58" s="122">
        <f>YEARFRAC(B58,F9)</f>
        <v>13.183333333333334</v>
      </c>
      <c r="G58" s="123">
        <v>12</v>
      </c>
      <c r="H58" s="124">
        <v>39</v>
      </c>
      <c r="I58" s="125"/>
      <c r="J58" s="126">
        <v>3</v>
      </c>
      <c r="K58" s="126">
        <v>1</v>
      </c>
      <c r="L58" s="126">
        <v>1</v>
      </c>
      <c r="M58" s="127" t="s">
        <v>48</v>
      </c>
      <c r="N58" s="127" t="str">
        <f>VLOOKUP(M58,F386:G389,2,FALSE)</f>
        <v>C-Plains</v>
      </c>
    </row>
    <row r="59" spans="1:15" s="115" customFormat="1" ht="15.75">
      <c r="A59" s="113">
        <v>1113</v>
      </c>
      <c r="B59" s="139">
        <v>37303</v>
      </c>
      <c r="C59" s="119" t="s">
        <v>64</v>
      </c>
      <c r="D59" s="120">
        <v>32124</v>
      </c>
      <c r="E59" s="121">
        <f t="shared" si="0"/>
        <v>15.444230769230769</v>
      </c>
      <c r="F59" s="122">
        <f>YEARFRAC(B59,F9)</f>
        <v>12.875</v>
      </c>
      <c r="G59" s="123">
        <v>12</v>
      </c>
      <c r="H59" s="124">
        <v>24</v>
      </c>
      <c r="I59" s="125"/>
      <c r="J59" s="126">
        <v>1</v>
      </c>
      <c r="K59" s="126">
        <v>2</v>
      </c>
      <c r="L59" s="126">
        <v>2</v>
      </c>
      <c r="M59" s="127" t="s">
        <v>51</v>
      </c>
      <c r="N59" s="127" t="str">
        <f>VLOOKUP(M59,F386:G389,2,FALSE)</f>
        <v>Northeast</v>
      </c>
      <c r="O59" s="114"/>
    </row>
    <row r="60" spans="1:15" s="115" customFormat="1" ht="15.75">
      <c r="A60" s="113">
        <v>1113</v>
      </c>
      <c r="B60" s="140">
        <v>37385</v>
      </c>
      <c r="C60" s="119" t="s">
        <v>64</v>
      </c>
      <c r="D60" s="120">
        <v>81695</v>
      </c>
      <c r="E60" s="121">
        <f t="shared" si="0"/>
        <v>39.276442307692307</v>
      </c>
      <c r="F60" s="122">
        <f>YEARFRAC(B60,F9)</f>
        <v>12.644444444444444</v>
      </c>
      <c r="G60" s="123">
        <v>14</v>
      </c>
      <c r="H60" s="124">
        <v>50</v>
      </c>
      <c r="I60" s="125" t="str">
        <f>IF(F60&gt;=10,"Yes","No")</f>
        <v>Yes</v>
      </c>
      <c r="J60" s="126">
        <v>1</v>
      </c>
      <c r="K60" s="126">
        <v>1</v>
      </c>
      <c r="L60" s="126">
        <v>1</v>
      </c>
      <c r="M60" s="127" t="s">
        <v>51</v>
      </c>
      <c r="N60" s="127" t="str">
        <f>VLOOKUP(M60,F386:G389,2,FALSE)</f>
        <v>Northeast</v>
      </c>
      <c r="O60" s="114"/>
    </row>
    <row r="61" spans="1:15" ht="15.75">
      <c r="A61" s="62">
        <v>1116</v>
      </c>
      <c r="B61" s="140">
        <v>37385</v>
      </c>
      <c r="C61" s="119" t="s">
        <v>64</v>
      </c>
      <c r="D61" s="120">
        <v>42235</v>
      </c>
      <c r="E61" s="121">
        <f t="shared" si="0"/>
        <v>20.30528846153846</v>
      </c>
      <c r="F61" s="122">
        <f>YEARFRAC(B61,F9)</f>
        <v>12.644444444444444</v>
      </c>
      <c r="G61" s="123">
        <v>12</v>
      </c>
      <c r="H61" s="124">
        <v>34</v>
      </c>
      <c r="I61" s="125"/>
      <c r="J61" s="126">
        <v>3</v>
      </c>
      <c r="K61" s="126">
        <v>1</v>
      </c>
      <c r="L61" s="126">
        <v>1</v>
      </c>
      <c r="M61" s="127" t="s">
        <v>52</v>
      </c>
      <c r="N61" s="127" t="str">
        <f>VLOOKUP(M61,F386:G389,2,FALSE)</f>
        <v>Midwest</v>
      </c>
    </row>
    <row r="62" spans="1:15" s="115" customFormat="1" ht="15.75">
      <c r="A62" s="113">
        <v>1116</v>
      </c>
      <c r="B62" s="118">
        <v>37415</v>
      </c>
      <c r="C62" s="119" t="s">
        <v>64</v>
      </c>
      <c r="D62" s="120">
        <v>81526</v>
      </c>
      <c r="E62" s="121">
        <f t="shared" si="0"/>
        <v>39.195192307692309</v>
      </c>
      <c r="F62" s="122">
        <f>YEARFRAC(B62,F9)</f>
        <v>12.563888888888888</v>
      </c>
      <c r="G62" s="123">
        <v>16</v>
      </c>
      <c r="H62" s="124">
        <v>52</v>
      </c>
      <c r="I62" s="125" t="str">
        <f>IF(F62&gt;=10,"Yes","No")</f>
        <v>Yes</v>
      </c>
      <c r="J62" s="126">
        <v>3</v>
      </c>
      <c r="K62" s="126">
        <v>1</v>
      </c>
      <c r="L62" s="126">
        <v>1</v>
      </c>
      <c r="M62" s="127" t="s">
        <v>51</v>
      </c>
      <c r="N62" s="127" t="str">
        <f>VLOOKUP(M62,F386:G389,2,FALSE)</f>
        <v>Northeast</v>
      </c>
      <c r="O62" s="114"/>
    </row>
    <row r="63" spans="1:15" s="115" customFormat="1" ht="15.75">
      <c r="A63" s="113">
        <v>1117</v>
      </c>
      <c r="B63" s="118">
        <v>37422</v>
      </c>
      <c r="C63" s="119" t="s">
        <v>64</v>
      </c>
      <c r="D63" s="120">
        <v>26360</v>
      </c>
      <c r="E63" s="121">
        <f t="shared" si="0"/>
        <v>12.673076923076923</v>
      </c>
      <c r="F63" s="122">
        <f>YEARFRAC(B63,F9)</f>
        <v>12.544444444444444</v>
      </c>
      <c r="G63" s="123">
        <v>12</v>
      </c>
      <c r="H63" s="124">
        <v>27</v>
      </c>
      <c r="I63" s="125"/>
      <c r="J63" s="126">
        <v>3</v>
      </c>
      <c r="K63" s="126">
        <v>2</v>
      </c>
      <c r="L63" s="126">
        <v>1</v>
      </c>
      <c r="M63" s="127" t="s">
        <v>51</v>
      </c>
      <c r="N63" s="127" t="str">
        <f>VLOOKUP(M63,F386:G389,2,FALSE)</f>
        <v>Northeast</v>
      </c>
      <c r="O63" s="114"/>
    </row>
    <row r="64" spans="1:15" ht="15.75">
      <c r="A64" s="62">
        <v>1117</v>
      </c>
      <c r="B64" s="139">
        <v>37485</v>
      </c>
      <c r="C64" s="119" t="s">
        <v>64</v>
      </c>
      <c r="D64" s="120">
        <v>31262</v>
      </c>
      <c r="E64" s="121">
        <f t="shared" si="0"/>
        <v>15.029807692307692</v>
      </c>
      <c r="F64" s="122">
        <f>YEARFRAC(B64,F9)</f>
        <v>12.372222222222222</v>
      </c>
      <c r="G64" s="123">
        <v>12</v>
      </c>
      <c r="H64" s="124">
        <v>22</v>
      </c>
      <c r="I64" s="125"/>
      <c r="J64" s="126">
        <v>2</v>
      </c>
      <c r="K64" s="126">
        <v>1</v>
      </c>
      <c r="L64" s="126">
        <v>2</v>
      </c>
      <c r="M64" s="127" t="s">
        <v>52</v>
      </c>
      <c r="N64" s="127" t="str">
        <f>VLOOKUP(M64,F386:G389,2,FALSE)</f>
        <v>Midwest</v>
      </c>
    </row>
    <row r="65" spans="1:15" ht="15.75">
      <c r="A65" s="62">
        <v>1128</v>
      </c>
      <c r="B65" s="118">
        <v>37524</v>
      </c>
      <c r="C65" s="119" t="s">
        <v>64</v>
      </c>
      <c r="D65" s="120">
        <v>74104</v>
      </c>
      <c r="E65" s="121">
        <f t="shared" si="0"/>
        <v>35.626923076923077</v>
      </c>
      <c r="F65" s="122">
        <f>YEARFRAC(B65,F9)</f>
        <v>12.266666666666667</v>
      </c>
      <c r="G65" s="123">
        <v>16</v>
      </c>
      <c r="H65" s="124">
        <v>35</v>
      </c>
      <c r="I65" s="125"/>
      <c r="J65" s="126">
        <v>3</v>
      </c>
      <c r="K65" s="126">
        <v>2</v>
      </c>
      <c r="L65" s="126">
        <v>1</v>
      </c>
      <c r="M65" s="127" t="s">
        <v>48</v>
      </c>
      <c r="N65" s="127" t="str">
        <f>VLOOKUP(M65,F386:G389,2,FALSE)</f>
        <v>C-Plains</v>
      </c>
    </row>
    <row r="66" spans="1:15" s="115" customFormat="1" ht="15.75">
      <c r="A66" s="113">
        <v>1130</v>
      </c>
      <c r="B66" s="118">
        <v>37545</v>
      </c>
      <c r="C66" s="119" t="s">
        <v>64</v>
      </c>
      <c r="D66" s="120">
        <v>59438</v>
      </c>
      <c r="E66" s="121">
        <f t="shared" si="0"/>
        <v>28.575961538461538</v>
      </c>
      <c r="F66" s="122">
        <f>YEARFRAC(B66,F9)</f>
        <v>12.208333333333334</v>
      </c>
      <c r="G66" s="123">
        <v>16</v>
      </c>
      <c r="H66" s="124">
        <v>53</v>
      </c>
      <c r="I66" s="125" t="str">
        <f>IF(F66&gt;=10,"Yes","No")</f>
        <v>Yes</v>
      </c>
      <c r="J66" s="126">
        <v>3</v>
      </c>
      <c r="K66" s="126">
        <v>1</v>
      </c>
      <c r="L66" s="126">
        <v>1</v>
      </c>
      <c r="M66" s="127" t="s">
        <v>51</v>
      </c>
      <c r="N66" s="127" t="str">
        <f>VLOOKUP(M66,F386:G389,2,FALSE)</f>
        <v>Northeast</v>
      </c>
      <c r="O66" s="114"/>
    </row>
    <row r="67" spans="1:15" s="115" customFormat="1" ht="15.75">
      <c r="A67" s="113">
        <v>1132</v>
      </c>
      <c r="B67" s="118">
        <v>37636</v>
      </c>
      <c r="C67" s="119" t="s">
        <v>64</v>
      </c>
      <c r="D67" s="120">
        <v>35822</v>
      </c>
      <c r="E67" s="121">
        <f t="shared" si="0"/>
        <v>17.222115384615385</v>
      </c>
      <c r="F67" s="122">
        <f>YEARFRAC(B67,F9)</f>
        <v>11.96111111111111</v>
      </c>
      <c r="G67" s="123">
        <v>12</v>
      </c>
      <c r="H67" s="124">
        <v>32</v>
      </c>
      <c r="I67" s="125"/>
      <c r="J67" s="126">
        <v>3</v>
      </c>
      <c r="K67" s="126">
        <v>1</v>
      </c>
      <c r="L67" s="126">
        <v>1</v>
      </c>
      <c r="M67" s="127" t="s">
        <v>51</v>
      </c>
      <c r="N67" s="127" t="str">
        <f>VLOOKUP(M67,F386:G389,2,FALSE)</f>
        <v>Northeast</v>
      </c>
      <c r="O67" s="114"/>
    </row>
    <row r="68" spans="1:15" s="115" customFormat="1" ht="15.75">
      <c r="A68" s="113">
        <v>1133</v>
      </c>
      <c r="B68" s="118">
        <v>37660</v>
      </c>
      <c r="C68" s="119" t="s">
        <v>64</v>
      </c>
      <c r="D68" s="120">
        <v>73337</v>
      </c>
      <c r="E68" s="121">
        <f t="shared" si="0"/>
        <v>35.258173076923079</v>
      </c>
      <c r="F68" s="122">
        <f>YEARFRAC(B68,F9)</f>
        <v>11.897222222222222</v>
      </c>
      <c r="G68" s="123">
        <v>19</v>
      </c>
      <c r="H68" s="124">
        <v>58</v>
      </c>
      <c r="I68" s="125"/>
      <c r="J68" s="126">
        <v>4</v>
      </c>
      <c r="K68" s="126">
        <v>1</v>
      </c>
      <c r="L68" s="126">
        <v>1</v>
      </c>
      <c r="M68" s="127" t="s">
        <v>51</v>
      </c>
      <c r="N68" s="127" t="str">
        <f>VLOOKUP(M68,F386:G389,2,FALSE)</f>
        <v>Northeast</v>
      </c>
      <c r="O68" s="114"/>
    </row>
    <row r="69" spans="1:15" ht="15.75">
      <c r="A69" s="62">
        <v>1136</v>
      </c>
      <c r="B69" s="118">
        <v>37695</v>
      </c>
      <c r="C69" s="119" t="s">
        <v>64</v>
      </c>
      <c r="D69" s="120">
        <v>32523</v>
      </c>
      <c r="E69" s="121">
        <f t="shared" si="0"/>
        <v>15.636057692307693</v>
      </c>
      <c r="F69" s="122">
        <f>YEARFRAC(B69,F9)</f>
        <v>11.794444444444444</v>
      </c>
      <c r="G69" s="123">
        <v>12</v>
      </c>
      <c r="H69" s="124">
        <v>24</v>
      </c>
      <c r="I69" s="125"/>
      <c r="J69" s="126">
        <v>1</v>
      </c>
      <c r="K69" s="126">
        <v>1</v>
      </c>
      <c r="L69" s="126">
        <v>2</v>
      </c>
      <c r="M69" s="127" t="s">
        <v>52</v>
      </c>
      <c r="N69" s="127" t="str">
        <f>VLOOKUP(M69,F386:G389,2,FALSE)</f>
        <v>Midwest</v>
      </c>
    </row>
    <row r="70" spans="1:15" s="115" customFormat="1" ht="15.75">
      <c r="A70" s="113">
        <v>1138</v>
      </c>
      <c r="B70" s="118">
        <v>37747</v>
      </c>
      <c r="C70" s="119" t="s">
        <v>64</v>
      </c>
      <c r="D70" s="120">
        <v>24017</v>
      </c>
      <c r="E70" s="121">
        <f t="shared" si="0"/>
        <v>11.546634615384615</v>
      </c>
      <c r="F70" s="122">
        <f>YEARFRAC(B70,F9)</f>
        <v>11.652777777777779</v>
      </c>
      <c r="G70" s="123">
        <v>12</v>
      </c>
      <c r="H70" s="124">
        <v>24</v>
      </c>
      <c r="I70" s="125"/>
      <c r="J70" s="126">
        <v>4</v>
      </c>
      <c r="K70" s="126">
        <v>2</v>
      </c>
      <c r="L70" s="126">
        <v>1</v>
      </c>
      <c r="M70" s="127" t="s">
        <v>51</v>
      </c>
      <c r="N70" s="127" t="str">
        <f>VLOOKUP(M70,F386:G389,2,FALSE)</f>
        <v>Northeast</v>
      </c>
      <c r="O70" s="114"/>
    </row>
    <row r="71" spans="1:15" s="115" customFormat="1" ht="15.75">
      <c r="A71" s="113">
        <v>1138</v>
      </c>
      <c r="B71" s="118">
        <v>37811</v>
      </c>
      <c r="C71" s="119" t="s">
        <v>64</v>
      </c>
      <c r="D71" s="120">
        <v>44204</v>
      </c>
      <c r="E71" s="121">
        <f t="shared" si="0"/>
        <v>21.251923076923077</v>
      </c>
      <c r="F71" s="122">
        <f>YEARFRAC(B71,F9)</f>
        <v>11.477777777777778</v>
      </c>
      <c r="G71" s="123">
        <v>12</v>
      </c>
      <c r="H71" s="124">
        <v>35</v>
      </c>
      <c r="I71" s="125"/>
      <c r="J71" s="126">
        <v>4</v>
      </c>
      <c r="K71" s="126">
        <v>1</v>
      </c>
      <c r="L71" s="126">
        <v>1</v>
      </c>
      <c r="M71" s="127" t="s">
        <v>51</v>
      </c>
      <c r="N71" s="127" t="str">
        <f>VLOOKUP(M71,F386:G389,2,FALSE)</f>
        <v>Northeast</v>
      </c>
      <c r="O71" s="114"/>
    </row>
    <row r="72" spans="1:15" ht="15.75">
      <c r="A72" s="62">
        <v>1140</v>
      </c>
      <c r="B72" s="118">
        <v>37847</v>
      </c>
      <c r="C72" s="119" t="s">
        <v>64</v>
      </c>
      <c r="D72" s="120">
        <v>35934</v>
      </c>
      <c r="E72" s="121">
        <f t="shared" si="0"/>
        <v>17.275961538461537</v>
      </c>
      <c r="F72" s="122">
        <f>YEARFRAC(B72,F9)</f>
        <v>11.380555555555556</v>
      </c>
      <c r="G72" s="123">
        <v>12</v>
      </c>
      <c r="H72" s="124">
        <v>32</v>
      </c>
      <c r="I72" s="125"/>
      <c r="J72" s="126">
        <v>2</v>
      </c>
      <c r="K72" s="126">
        <v>1</v>
      </c>
      <c r="L72" s="126">
        <v>1</v>
      </c>
      <c r="M72" s="127" t="s">
        <v>52</v>
      </c>
      <c r="N72" s="127" t="str">
        <f>VLOOKUP(M72,F386:G389,2,FALSE)</f>
        <v>Midwest</v>
      </c>
    </row>
    <row r="73" spans="1:15" ht="15.75">
      <c r="A73" s="62">
        <v>1141</v>
      </c>
      <c r="B73" s="118">
        <v>37870</v>
      </c>
      <c r="C73" s="119" t="s">
        <v>64</v>
      </c>
      <c r="D73" s="120">
        <v>25999</v>
      </c>
      <c r="E73" s="121">
        <f t="shared" si="0"/>
        <v>12.499519230769231</v>
      </c>
      <c r="F73" s="122">
        <f>YEARFRAC(B73,F9)</f>
        <v>11.319444444444445</v>
      </c>
      <c r="G73" s="123">
        <v>12</v>
      </c>
      <c r="H73" s="124">
        <v>24</v>
      </c>
      <c r="I73" s="125"/>
      <c r="J73" s="126">
        <v>3</v>
      </c>
      <c r="K73" s="126">
        <v>1</v>
      </c>
      <c r="L73" s="126">
        <v>1</v>
      </c>
      <c r="M73" s="127" t="s">
        <v>52</v>
      </c>
      <c r="N73" s="127" t="str">
        <f>VLOOKUP(M73,F386:G389,2,FALSE)</f>
        <v>Midwest</v>
      </c>
    </row>
    <row r="74" spans="1:15" s="115" customFormat="1" ht="15.75">
      <c r="A74" s="113">
        <v>1142</v>
      </c>
      <c r="B74" s="118">
        <v>37909</v>
      </c>
      <c r="C74" s="119" t="s">
        <v>64</v>
      </c>
      <c r="D74" s="120">
        <v>36901</v>
      </c>
      <c r="E74" s="121">
        <f t="shared" si="0"/>
        <v>17.740865384615386</v>
      </c>
      <c r="F74" s="122">
        <f>YEARFRAC(B74,F9)</f>
        <v>11.21111111111111</v>
      </c>
      <c r="G74" s="123">
        <v>12</v>
      </c>
      <c r="H74" s="124">
        <v>32</v>
      </c>
      <c r="I74" s="125"/>
      <c r="J74" s="126">
        <v>1</v>
      </c>
      <c r="K74" s="126">
        <v>1</v>
      </c>
      <c r="L74" s="126">
        <v>1</v>
      </c>
      <c r="M74" s="127" t="s">
        <v>51</v>
      </c>
      <c r="N74" s="127" t="str">
        <f>VLOOKUP(M74,F386:G389,2,FALSE)</f>
        <v>Northeast</v>
      </c>
      <c r="O74" s="114"/>
    </row>
    <row r="75" spans="1:15" ht="15.75">
      <c r="A75" s="62">
        <v>1145</v>
      </c>
      <c r="B75" s="118">
        <v>38040</v>
      </c>
      <c r="C75" s="119" t="s">
        <v>64</v>
      </c>
      <c r="D75" s="120">
        <v>25131</v>
      </c>
      <c r="E75" s="121">
        <f t="shared" ref="E75:E138" si="1">D75/Annual_Hrs</f>
        <v>12.082211538461538</v>
      </c>
      <c r="F75" s="122">
        <f>YEARFRAC(B75,F9)</f>
        <v>10.855555555555556</v>
      </c>
      <c r="G75" s="123">
        <v>12</v>
      </c>
      <c r="H75" s="124">
        <v>24</v>
      </c>
      <c r="I75" s="125"/>
      <c r="J75" s="126">
        <v>2</v>
      </c>
      <c r="K75" s="126">
        <v>1</v>
      </c>
      <c r="L75" s="126">
        <v>2</v>
      </c>
      <c r="M75" s="127" t="s">
        <v>52</v>
      </c>
      <c r="N75" s="127" t="str">
        <f>VLOOKUP(M75,F386:G389,2,FALSE)</f>
        <v>Midwest</v>
      </c>
    </row>
    <row r="76" spans="1:15" ht="15.75">
      <c r="A76" s="62">
        <v>1145</v>
      </c>
      <c r="B76" s="118">
        <v>38050</v>
      </c>
      <c r="C76" s="119" t="s">
        <v>64</v>
      </c>
      <c r="D76" s="120">
        <v>34680</v>
      </c>
      <c r="E76" s="121">
        <f t="shared" si="1"/>
        <v>16.673076923076923</v>
      </c>
      <c r="F76" s="122">
        <f>YEARFRAC(B76,F9)</f>
        <v>10.824999999999999</v>
      </c>
      <c r="G76" s="123">
        <v>12</v>
      </c>
      <c r="H76" s="124">
        <v>29</v>
      </c>
      <c r="I76" s="125"/>
      <c r="J76" s="126">
        <v>1</v>
      </c>
      <c r="K76" s="126">
        <v>1</v>
      </c>
      <c r="L76" s="126">
        <v>2</v>
      </c>
      <c r="M76" s="127" t="s">
        <v>48</v>
      </c>
      <c r="N76" s="127" t="str">
        <f>VLOOKUP(M76,F386:G389,2,FALSE)</f>
        <v>C-Plains</v>
      </c>
    </row>
    <row r="77" spans="1:15" ht="15.75">
      <c r="A77" s="62">
        <v>1145</v>
      </c>
      <c r="B77" s="118">
        <v>38052</v>
      </c>
      <c r="C77" s="119" t="s">
        <v>19</v>
      </c>
      <c r="D77" s="120">
        <v>53327</v>
      </c>
      <c r="E77" s="121">
        <f t="shared" si="1"/>
        <v>25.637980769230769</v>
      </c>
      <c r="F77" s="122">
        <f>YEARFRAC(B77,F9)</f>
        <v>10.819444444444445</v>
      </c>
      <c r="G77" s="123">
        <v>12</v>
      </c>
      <c r="H77" s="124">
        <v>45</v>
      </c>
      <c r="I77" s="125" t="str">
        <f>IF(F77&gt;=10,"Yes","No")</f>
        <v>Yes</v>
      </c>
      <c r="J77" s="126">
        <v>3</v>
      </c>
      <c r="K77" s="126">
        <v>1</v>
      </c>
      <c r="L77" s="126">
        <v>1</v>
      </c>
      <c r="M77" s="127" t="s">
        <v>52</v>
      </c>
      <c r="N77" s="127" t="str">
        <f>VLOOKUP(M77,F386:G389,2,FALSE)</f>
        <v>Midwest</v>
      </c>
    </row>
    <row r="78" spans="1:15" ht="15.75">
      <c r="A78" s="62">
        <v>1150</v>
      </c>
      <c r="B78" s="118">
        <v>38053</v>
      </c>
      <c r="C78" s="119" t="s">
        <v>19</v>
      </c>
      <c r="D78" s="120">
        <v>30808</v>
      </c>
      <c r="E78" s="121">
        <f t="shared" si="1"/>
        <v>14.811538461538461</v>
      </c>
      <c r="F78" s="122">
        <f>YEARFRAC(B78,F9)</f>
        <v>10.816666666666666</v>
      </c>
      <c r="G78" s="123">
        <v>12</v>
      </c>
      <c r="H78" s="124">
        <v>21</v>
      </c>
      <c r="I78" s="125"/>
      <c r="J78" s="126">
        <v>1</v>
      </c>
      <c r="K78" s="126">
        <v>1</v>
      </c>
      <c r="L78" s="126">
        <v>2</v>
      </c>
      <c r="M78" s="127" t="s">
        <v>52</v>
      </c>
      <c r="N78" s="127" t="str">
        <f>VLOOKUP(M78,F386:G389,2,FALSE)</f>
        <v>Midwest</v>
      </c>
    </row>
    <row r="79" spans="1:15" ht="15.75">
      <c r="A79" s="62">
        <v>1153</v>
      </c>
      <c r="B79" s="118">
        <v>38114</v>
      </c>
      <c r="C79" s="119" t="s">
        <v>19</v>
      </c>
      <c r="D79" s="120">
        <v>66843</v>
      </c>
      <c r="E79" s="121">
        <f t="shared" si="1"/>
        <v>32.136057692307695</v>
      </c>
      <c r="F79" s="122">
        <f>YEARFRAC(B79,F9)</f>
        <v>10.65</v>
      </c>
      <c r="G79" s="123">
        <v>12</v>
      </c>
      <c r="H79" s="124">
        <v>30</v>
      </c>
      <c r="I79" s="125"/>
      <c r="J79" s="126">
        <v>3</v>
      </c>
      <c r="K79" s="126">
        <v>1</v>
      </c>
      <c r="L79" s="126">
        <v>1</v>
      </c>
      <c r="M79" s="127" t="s">
        <v>52</v>
      </c>
      <c r="N79" s="127" t="str">
        <f>VLOOKUP(M79,F386:G389,2,FALSE)</f>
        <v>Midwest</v>
      </c>
    </row>
    <row r="80" spans="1:15" ht="15.75">
      <c r="A80" s="62">
        <v>1156</v>
      </c>
      <c r="B80" s="118">
        <v>38140</v>
      </c>
      <c r="C80" s="119" t="s">
        <v>19</v>
      </c>
      <c r="D80" s="120">
        <v>33395</v>
      </c>
      <c r="E80" s="121">
        <f t="shared" si="1"/>
        <v>16.05528846153846</v>
      </c>
      <c r="F80" s="122">
        <f>YEARFRAC(B80,F9)</f>
        <v>10.580555555555556</v>
      </c>
      <c r="G80" s="123">
        <v>12</v>
      </c>
      <c r="H80" s="124">
        <v>26</v>
      </c>
      <c r="I80" s="125"/>
      <c r="J80" s="126">
        <v>3</v>
      </c>
      <c r="K80" s="126">
        <v>1</v>
      </c>
      <c r="L80" s="126">
        <v>2</v>
      </c>
      <c r="M80" s="127" t="s">
        <v>52</v>
      </c>
      <c r="N80" s="127" t="str">
        <f>VLOOKUP(M80,F386:G389,2,FALSE)</f>
        <v>Midwest</v>
      </c>
    </row>
    <row r="81" spans="1:15" s="115" customFormat="1" ht="15.75">
      <c r="A81" s="113">
        <v>1167</v>
      </c>
      <c r="B81" s="118">
        <v>38143</v>
      </c>
      <c r="C81" s="119" t="s">
        <v>19</v>
      </c>
      <c r="D81" s="120">
        <v>32766</v>
      </c>
      <c r="E81" s="121">
        <f t="shared" si="1"/>
        <v>15.752884615384616</v>
      </c>
      <c r="F81" s="122">
        <f>YEARFRAC(B81,F9)</f>
        <v>10.572222222222223</v>
      </c>
      <c r="G81" s="123">
        <v>12</v>
      </c>
      <c r="H81" s="124">
        <v>24</v>
      </c>
      <c r="I81" s="125"/>
      <c r="J81" s="126">
        <v>3</v>
      </c>
      <c r="K81" s="126">
        <v>1</v>
      </c>
      <c r="L81" s="126">
        <v>1</v>
      </c>
      <c r="M81" s="127" t="s">
        <v>51</v>
      </c>
      <c r="N81" s="127" t="str">
        <f>VLOOKUP(M81,F386:G389,2,FALSE)</f>
        <v>Northeast</v>
      </c>
      <c r="O81" s="114"/>
    </row>
    <row r="82" spans="1:15" s="115" customFormat="1" ht="15.75">
      <c r="A82" s="113">
        <v>1169</v>
      </c>
      <c r="B82" s="118">
        <v>38165</v>
      </c>
      <c r="C82" s="119" t="s">
        <v>19</v>
      </c>
      <c r="D82" s="120">
        <v>40871</v>
      </c>
      <c r="E82" s="121">
        <f t="shared" si="1"/>
        <v>19.649519230769229</v>
      </c>
      <c r="F82" s="122">
        <f>YEARFRAC(B82,F9)</f>
        <v>10.511111111111111</v>
      </c>
      <c r="G82" s="123">
        <v>12</v>
      </c>
      <c r="H82" s="124">
        <v>34</v>
      </c>
      <c r="I82" s="125"/>
      <c r="J82" s="126">
        <v>3</v>
      </c>
      <c r="K82" s="126">
        <v>1</v>
      </c>
      <c r="L82" s="126">
        <v>1</v>
      </c>
      <c r="M82" s="127" t="s">
        <v>51</v>
      </c>
      <c r="N82" s="127" t="str">
        <f>VLOOKUP(M82,F386:G389,2,FALSE)</f>
        <v>Northeast</v>
      </c>
      <c r="O82" s="114"/>
    </row>
    <row r="83" spans="1:15" ht="15.75">
      <c r="A83" s="62">
        <v>1175</v>
      </c>
      <c r="B83" s="118">
        <v>38189</v>
      </c>
      <c r="C83" s="119" t="s">
        <v>19</v>
      </c>
      <c r="D83" s="120">
        <v>54886</v>
      </c>
      <c r="E83" s="121">
        <f t="shared" si="1"/>
        <v>26.387499999999999</v>
      </c>
      <c r="F83" s="122">
        <f>YEARFRAC(B83,F9)</f>
        <v>10.444444444444445</v>
      </c>
      <c r="G83" s="123">
        <v>14</v>
      </c>
      <c r="H83" s="124">
        <v>48</v>
      </c>
      <c r="I83" s="125" t="str">
        <f>IF(F83&gt;=10,"Yes","No")</f>
        <v>Yes</v>
      </c>
      <c r="J83" s="126">
        <v>3</v>
      </c>
      <c r="K83" s="126">
        <v>1</v>
      </c>
      <c r="L83" s="126">
        <v>1</v>
      </c>
      <c r="M83" s="127" t="s">
        <v>48</v>
      </c>
      <c r="N83" s="127" t="str">
        <f>VLOOKUP(M83,F386:G389,2,FALSE)</f>
        <v>C-Plains</v>
      </c>
    </row>
    <row r="84" spans="1:15" ht="15.75">
      <c r="A84" s="62">
        <v>1180</v>
      </c>
      <c r="B84" s="118">
        <v>38229</v>
      </c>
      <c r="C84" s="119" t="s">
        <v>13</v>
      </c>
      <c r="D84" s="120">
        <v>52469</v>
      </c>
      <c r="E84" s="121">
        <f t="shared" si="1"/>
        <v>25.225480769230771</v>
      </c>
      <c r="F84" s="122">
        <f>YEARFRAC(B84,F9)</f>
        <v>10.333333333333334</v>
      </c>
      <c r="G84" s="123">
        <v>12</v>
      </c>
      <c r="H84" s="124">
        <v>45</v>
      </c>
      <c r="I84" s="125"/>
      <c r="J84" s="126">
        <v>1</v>
      </c>
      <c r="K84" s="126">
        <v>1</v>
      </c>
      <c r="L84" s="126">
        <v>1</v>
      </c>
      <c r="M84" s="127" t="s">
        <v>48</v>
      </c>
      <c r="N84" s="127" t="str">
        <f>VLOOKUP(M84,F386:G389,2,FALSE)</f>
        <v>C-Plains</v>
      </c>
    </row>
    <row r="85" spans="1:15" s="115" customFormat="1" ht="15.75">
      <c r="A85" s="113">
        <v>1185</v>
      </c>
      <c r="B85" s="118">
        <v>38245</v>
      </c>
      <c r="C85" s="119" t="s">
        <v>13</v>
      </c>
      <c r="D85" s="120">
        <v>37914</v>
      </c>
      <c r="E85" s="121">
        <f t="shared" si="1"/>
        <v>18.227884615384614</v>
      </c>
      <c r="F85" s="122">
        <f>YEARFRAC(B85,F9)</f>
        <v>10.294444444444444</v>
      </c>
      <c r="G85" s="123">
        <v>12</v>
      </c>
      <c r="H85" s="124">
        <v>33</v>
      </c>
      <c r="I85" s="125"/>
      <c r="J85" s="126">
        <v>1</v>
      </c>
      <c r="K85" s="126">
        <v>1</v>
      </c>
      <c r="L85" s="126">
        <v>1</v>
      </c>
      <c r="M85" s="127" t="s">
        <v>51</v>
      </c>
      <c r="N85" s="127" t="str">
        <f>VLOOKUP(M85,F386:G389,2,FALSE)</f>
        <v>Northeast</v>
      </c>
      <c r="O85" s="114"/>
    </row>
    <row r="86" spans="1:15" ht="15.75">
      <c r="A86" s="62">
        <v>1186</v>
      </c>
      <c r="B86" s="118">
        <v>38358</v>
      </c>
      <c r="C86" s="119" t="s">
        <v>13</v>
      </c>
      <c r="D86" s="120">
        <v>50636</v>
      </c>
      <c r="E86" s="121">
        <f t="shared" si="1"/>
        <v>24.344230769230769</v>
      </c>
      <c r="F86" s="122">
        <f>YEARFRAC(B86,F9)</f>
        <v>9.9861111111111107</v>
      </c>
      <c r="G86" s="123">
        <v>12</v>
      </c>
      <c r="H86" s="124">
        <v>43</v>
      </c>
      <c r="I86" s="125"/>
      <c r="J86" s="126">
        <v>3</v>
      </c>
      <c r="K86" s="126">
        <v>1</v>
      </c>
      <c r="L86" s="126">
        <v>1</v>
      </c>
      <c r="M86" s="127" t="s">
        <v>48</v>
      </c>
      <c r="N86" s="127" t="str">
        <f>VLOOKUP(M86,F386:G389,2,FALSE)</f>
        <v>C-Plains</v>
      </c>
    </row>
    <row r="87" spans="1:15" ht="15.75">
      <c r="A87" s="62">
        <v>1188</v>
      </c>
      <c r="B87" s="118">
        <v>38361</v>
      </c>
      <c r="C87" s="119" t="s">
        <v>13</v>
      </c>
      <c r="D87" s="120">
        <v>83198</v>
      </c>
      <c r="E87" s="121">
        <f t="shared" si="1"/>
        <v>39.999038461538461</v>
      </c>
      <c r="F87" s="122">
        <f>YEARFRAC(B87,F9)</f>
        <v>9.9777777777777779</v>
      </c>
      <c r="G87" s="123">
        <v>19</v>
      </c>
      <c r="H87" s="124">
        <v>38</v>
      </c>
      <c r="I87" s="125"/>
      <c r="J87" s="126">
        <v>3</v>
      </c>
      <c r="K87" s="126">
        <v>1</v>
      </c>
      <c r="L87" s="126">
        <v>1</v>
      </c>
      <c r="M87" s="127" t="s">
        <v>52</v>
      </c>
      <c r="N87" s="127" t="str">
        <f>VLOOKUP(M87,F386:G389,2,FALSE)</f>
        <v>Midwest</v>
      </c>
    </row>
    <row r="88" spans="1:15" s="115" customFormat="1" ht="15.75">
      <c r="A88" s="113">
        <v>1189</v>
      </c>
      <c r="B88" s="118">
        <v>38364</v>
      </c>
      <c r="C88" s="119" t="s">
        <v>13</v>
      </c>
      <c r="D88" s="120">
        <v>70520</v>
      </c>
      <c r="E88" s="121">
        <f t="shared" si="1"/>
        <v>33.903846153846153</v>
      </c>
      <c r="F88" s="122">
        <f>YEARFRAC(B88,F9)</f>
        <v>9.969444444444445</v>
      </c>
      <c r="G88" s="123">
        <v>16</v>
      </c>
      <c r="H88" s="124">
        <v>40</v>
      </c>
      <c r="I88" s="125"/>
      <c r="J88" s="126">
        <v>2</v>
      </c>
      <c r="K88" s="126">
        <v>2</v>
      </c>
      <c r="L88" s="126">
        <v>1</v>
      </c>
      <c r="M88" s="127" t="s">
        <v>51</v>
      </c>
      <c r="N88" s="127" t="str">
        <f>VLOOKUP(M88,F386:G389,2,FALSE)</f>
        <v>Northeast</v>
      </c>
      <c r="O88" s="114"/>
    </row>
    <row r="89" spans="1:15" ht="15.75">
      <c r="A89" s="62">
        <v>1190</v>
      </c>
      <c r="B89" s="118">
        <v>38376</v>
      </c>
      <c r="C89" s="119" t="s">
        <v>13</v>
      </c>
      <c r="D89" s="120">
        <v>55716</v>
      </c>
      <c r="E89" s="121">
        <f t="shared" si="1"/>
        <v>26.786538461538463</v>
      </c>
      <c r="F89" s="122">
        <f>YEARFRAC(B89,F9)</f>
        <v>9.9361111111111118</v>
      </c>
      <c r="G89" s="123">
        <v>12</v>
      </c>
      <c r="H89" s="124">
        <v>48</v>
      </c>
      <c r="I89" s="125" t="str">
        <f>IF(F89&gt;=10,"Yes","No")</f>
        <v>No</v>
      </c>
      <c r="J89" s="126">
        <v>1</v>
      </c>
      <c r="K89" s="126">
        <v>1</v>
      </c>
      <c r="L89" s="126">
        <v>1</v>
      </c>
      <c r="M89" s="127" t="s">
        <v>52</v>
      </c>
      <c r="N89" s="127" t="str">
        <f>VLOOKUP(M89,F386:G389,2,FALSE)</f>
        <v>Midwest</v>
      </c>
    </row>
    <row r="90" spans="1:15" ht="15.75">
      <c r="A90" s="62">
        <v>1190</v>
      </c>
      <c r="B90" s="118">
        <v>38384</v>
      </c>
      <c r="C90" s="119" t="s">
        <v>13</v>
      </c>
      <c r="D90" s="120">
        <v>59147</v>
      </c>
      <c r="E90" s="121">
        <f t="shared" si="1"/>
        <v>28.436057692307692</v>
      </c>
      <c r="F90" s="122">
        <f>YEARFRAC(B90,F9)</f>
        <v>9.9166666666666661</v>
      </c>
      <c r="G90" s="123">
        <v>14</v>
      </c>
      <c r="H90" s="124">
        <v>53</v>
      </c>
      <c r="I90" s="125" t="str">
        <f>IF(F90&gt;=10,"Yes","No")</f>
        <v>No</v>
      </c>
      <c r="J90" s="126">
        <v>1</v>
      </c>
      <c r="K90" s="126">
        <v>1</v>
      </c>
      <c r="L90" s="126">
        <v>1</v>
      </c>
      <c r="M90" s="127" t="s">
        <v>52</v>
      </c>
      <c r="N90" s="127" t="str">
        <f>VLOOKUP(M90,F386:G389,2,FALSE)</f>
        <v>Midwest</v>
      </c>
    </row>
    <row r="91" spans="1:15" ht="15.75">
      <c r="A91" s="62">
        <v>1196</v>
      </c>
      <c r="B91" s="118">
        <v>38388</v>
      </c>
      <c r="C91" s="119" t="s">
        <v>13</v>
      </c>
      <c r="D91" s="120">
        <v>35327</v>
      </c>
      <c r="E91" s="121">
        <f t="shared" si="1"/>
        <v>16.984134615384615</v>
      </c>
      <c r="F91" s="122">
        <f>YEARFRAC(B91,F9)</f>
        <v>9.905555555555555</v>
      </c>
      <c r="G91" s="123">
        <v>12</v>
      </c>
      <c r="H91" s="124">
        <v>30</v>
      </c>
      <c r="I91" s="125"/>
      <c r="J91" s="126">
        <v>3</v>
      </c>
      <c r="K91" s="126">
        <v>1</v>
      </c>
      <c r="L91" s="126">
        <v>1</v>
      </c>
      <c r="M91" s="127" t="s">
        <v>52</v>
      </c>
      <c r="N91" s="127" t="str">
        <f>VLOOKUP(M91,F386:G389,2,FALSE)</f>
        <v>Midwest</v>
      </c>
    </row>
    <row r="92" spans="1:15" s="115" customFormat="1" ht="15.75">
      <c r="A92" s="113">
        <v>1198</v>
      </c>
      <c r="B92" s="118">
        <v>38425</v>
      </c>
      <c r="C92" s="119" t="s">
        <v>13</v>
      </c>
      <c r="D92" s="120">
        <v>23484</v>
      </c>
      <c r="E92" s="121">
        <f t="shared" si="1"/>
        <v>11.290384615384616</v>
      </c>
      <c r="F92" s="122">
        <f>YEARFRAC(B92,F9)</f>
        <v>9.7972222222222225</v>
      </c>
      <c r="G92" s="123">
        <v>12</v>
      </c>
      <c r="H92" s="124">
        <v>22</v>
      </c>
      <c r="I92" s="125"/>
      <c r="J92" s="126">
        <v>1</v>
      </c>
      <c r="K92" s="126">
        <v>1</v>
      </c>
      <c r="L92" s="126">
        <v>1</v>
      </c>
      <c r="M92" s="127" t="s">
        <v>51</v>
      </c>
      <c r="N92" s="127" t="str">
        <f>VLOOKUP(M92,F386:G389,2,FALSE)</f>
        <v>Northeast</v>
      </c>
      <c r="O92" s="114"/>
    </row>
    <row r="93" spans="1:15" ht="15.75">
      <c r="A93" s="62">
        <v>1201</v>
      </c>
      <c r="B93" s="118">
        <v>38425</v>
      </c>
      <c r="C93" s="119" t="s">
        <v>13</v>
      </c>
      <c r="D93" s="120">
        <v>43003</v>
      </c>
      <c r="E93" s="121">
        <f t="shared" si="1"/>
        <v>20.674519230769231</v>
      </c>
      <c r="F93" s="122">
        <f>YEARFRAC(B93,F9)</f>
        <v>9.7972222222222225</v>
      </c>
      <c r="G93" s="123">
        <v>12</v>
      </c>
      <c r="H93" s="124">
        <v>35</v>
      </c>
      <c r="I93" s="125"/>
      <c r="J93" s="126">
        <v>3</v>
      </c>
      <c r="K93" s="126">
        <v>1</v>
      </c>
      <c r="L93" s="126">
        <v>1</v>
      </c>
      <c r="M93" s="127" t="s">
        <v>52</v>
      </c>
      <c r="N93" s="127" t="str">
        <f>VLOOKUP(M93,F386:G389,2,FALSE)</f>
        <v>Midwest</v>
      </c>
    </row>
    <row r="94" spans="1:15" s="115" customFormat="1" ht="15.75">
      <c r="A94" s="113">
        <v>1202</v>
      </c>
      <c r="B94" s="118">
        <v>38425</v>
      </c>
      <c r="C94" s="119" t="s">
        <v>13</v>
      </c>
      <c r="D94" s="120">
        <v>85123</v>
      </c>
      <c r="E94" s="121">
        <f t="shared" si="1"/>
        <v>40.924519230769228</v>
      </c>
      <c r="F94" s="122">
        <f>YEARFRAC(B94,F9)</f>
        <v>9.7972222222222225</v>
      </c>
      <c r="G94" s="123">
        <v>16</v>
      </c>
      <c r="H94" s="124">
        <v>48</v>
      </c>
      <c r="I94" s="125" t="str">
        <f>IF(F94&gt;=10,"Yes","No")</f>
        <v>No</v>
      </c>
      <c r="J94" s="126">
        <v>3</v>
      </c>
      <c r="K94" s="126">
        <v>1</v>
      </c>
      <c r="L94" s="126">
        <v>1</v>
      </c>
      <c r="M94" s="127" t="s">
        <v>51</v>
      </c>
      <c r="N94" s="127" t="str">
        <f>VLOOKUP(M94,F386:G389,2,FALSE)</f>
        <v>Northeast</v>
      </c>
      <c r="O94" s="114"/>
    </row>
    <row r="95" spans="1:15" ht="15.75">
      <c r="A95" s="62">
        <v>1210</v>
      </c>
      <c r="B95" s="118">
        <v>38448</v>
      </c>
      <c r="C95" s="119" t="s">
        <v>13</v>
      </c>
      <c r="D95" s="120">
        <v>50133</v>
      </c>
      <c r="E95" s="121">
        <f t="shared" si="1"/>
        <v>24.102403846153845</v>
      </c>
      <c r="F95" s="122">
        <f>YEARFRAC(B95,F9)</f>
        <v>9.7361111111111107</v>
      </c>
      <c r="G95" s="123">
        <v>12</v>
      </c>
      <c r="H95" s="124">
        <v>40</v>
      </c>
      <c r="I95" s="125"/>
      <c r="J95" s="126">
        <v>3</v>
      </c>
      <c r="K95" s="126">
        <v>1</v>
      </c>
      <c r="L95" s="126">
        <v>1</v>
      </c>
      <c r="M95" s="127" t="s">
        <v>48</v>
      </c>
      <c r="N95" s="127" t="str">
        <f>VLOOKUP(M95,F386:G389,2,FALSE)</f>
        <v>C-Plains</v>
      </c>
    </row>
    <row r="96" spans="1:15" s="115" customFormat="1" ht="15.75">
      <c r="A96" s="113">
        <v>1215</v>
      </c>
      <c r="B96" s="118">
        <v>38450</v>
      </c>
      <c r="C96" s="119" t="s">
        <v>13</v>
      </c>
      <c r="D96" s="120">
        <v>86673</v>
      </c>
      <c r="E96" s="121">
        <f t="shared" si="1"/>
        <v>41.669711538461542</v>
      </c>
      <c r="F96" s="122">
        <f>YEARFRAC(B96,F9)</f>
        <v>9.7305555555555561</v>
      </c>
      <c r="G96" s="123">
        <v>19</v>
      </c>
      <c r="H96" s="124">
        <v>43</v>
      </c>
      <c r="I96" s="125"/>
      <c r="J96" s="126">
        <v>2</v>
      </c>
      <c r="K96" s="126">
        <v>1</v>
      </c>
      <c r="L96" s="126">
        <v>1</v>
      </c>
      <c r="M96" s="127" t="s">
        <v>51</v>
      </c>
      <c r="N96" s="127" t="str">
        <f>VLOOKUP(M96,F386:G389,2,FALSE)</f>
        <v>Northeast</v>
      </c>
      <c r="O96" s="114"/>
    </row>
    <row r="97" spans="1:15" s="115" customFormat="1" ht="15.75">
      <c r="A97" s="113">
        <v>1216</v>
      </c>
      <c r="B97" s="118">
        <v>38462</v>
      </c>
      <c r="C97" s="119" t="s">
        <v>13</v>
      </c>
      <c r="D97" s="120">
        <v>52654</v>
      </c>
      <c r="E97" s="121">
        <f t="shared" si="1"/>
        <v>25.314423076923077</v>
      </c>
      <c r="F97" s="122">
        <f>YEARFRAC(B97,F9)</f>
        <v>9.6972222222222229</v>
      </c>
      <c r="G97" s="123">
        <v>14</v>
      </c>
      <c r="H97" s="124">
        <v>40</v>
      </c>
      <c r="I97" s="125"/>
      <c r="J97" s="126">
        <v>1</v>
      </c>
      <c r="K97" s="126">
        <v>1</v>
      </c>
      <c r="L97" s="126">
        <v>1</v>
      </c>
      <c r="M97" s="127" t="s">
        <v>51</v>
      </c>
      <c r="N97" s="127" t="str">
        <f>VLOOKUP(M97,F386:G389,2,FALSE)</f>
        <v>Northeast</v>
      </c>
      <c r="O97" s="114"/>
    </row>
    <row r="98" spans="1:15" s="115" customFormat="1" ht="15.75">
      <c r="A98" s="113">
        <v>1218</v>
      </c>
      <c r="B98" s="118">
        <v>38481</v>
      </c>
      <c r="C98" s="119" t="s">
        <v>13</v>
      </c>
      <c r="D98" s="120">
        <v>64504</v>
      </c>
      <c r="E98" s="121">
        <f t="shared" si="1"/>
        <v>31.011538461538461</v>
      </c>
      <c r="F98" s="122">
        <f>YEARFRAC(B98,F9)</f>
        <v>9.6444444444444439</v>
      </c>
      <c r="G98" s="123">
        <v>16</v>
      </c>
      <c r="H98" s="124">
        <v>34</v>
      </c>
      <c r="I98" s="125"/>
      <c r="J98" s="126">
        <v>1</v>
      </c>
      <c r="K98" s="126">
        <v>1</v>
      </c>
      <c r="L98" s="126">
        <v>2</v>
      </c>
      <c r="M98" s="127" t="s">
        <v>51</v>
      </c>
      <c r="N98" s="127" t="str">
        <f>VLOOKUP(M98,F386:G389,2,FALSE)</f>
        <v>Northeast</v>
      </c>
      <c r="O98" s="114"/>
    </row>
    <row r="99" spans="1:15" ht="15.75">
      <c r="A99" s="62">
        <v>1220</v>
      </c>
      <c r="B99" s="118">
        <v>38492</v>
      </c>
      <c r="C99" s="119" t="s">
        <v>13</v>
      </c>
      <c r="D99" s="120">
        <v>54368</v>
      </c>
      <c r="E99" s="121">
        <f t="shared" si="1"/>
        <v>26.138461538461538</v>
      </c>
      <c r="F99" s="122">
        <f>YEARFRAC(B99,F9)</f>
        <v>9.6138888888888889</v>
      </c>
      <c r="G99" s="123">
        <v>12</v>
      </c>
      <c r="H99" s="124">
        <v>48</v>
      </c>
      <c r="I99" s="125" t="str">
        <f>IF(F99&gt;=10,"Yes","No")</f>
        <v>No</v>
      </c>
      <c r="J99" s="126">
        <v>3</v>
      </c>
      <c r="K99" s="126">
        <v>1</v>
      </c>
      <c r="L99" s="126">
        <v>1</v>
      </c>
      <c r="M99" s="127" t="s">
        <v>48</v>
      </c>
      <c r="N99" s="127" t="str">
        <f>VLOOKUP(M99,F386:G389,2,FALSE)</f>
        <v>C-Plains</v>
      </c>
    </row>
    <row r="100" spans="1:15" ht="15.75">
      <c r="A100" s="62">
        <v>1220</v>
      </c>
      <c r="B100" s="118">
        <v>38504</v>
      </c>
      <c r="C100" s="119" t="s">
        <v>13</v>
      </c>
      <c r="D100" s="120">
        <v>83377</v>
      </c>
      <c r="E100" s="121">
        <f t="shared" si="1"/>
        <v>40.085096153846152</v>
      </c>
      <c r="F100" s="122">
        <f>YEARFRAC(B100,F9)</f>
        <v>9.5833333333333339</v>
      </c>
      <c r="G100" s="123">
        <v>14</v>
      </c>
      <c r="H100" s="124">
        <v>55</v>
      </c>
      <c r="I100" s="125" t="str">
        <f>IF(F100&gt;=10,"Yes","No")</f>
        <v>No</v>
      </c>
      <c r="J100" s="126">
        <v>1</v>
      </c>
      <c r="K100" s="126">
        <v>2</v>
      </c>
      <c r="L100" s="126">
        <v>1</v>
      </c>
      <c r="M100" s="127" t="s">
        <v>52</v>
      </c>
      <c r="N100" s="127" t="str">
        <f>VLOOKUP(M100,F386:G389,2,FALSE)</f>
        <v>Midwest</v>
      </c>
    </row>
    <row r="101" spans="1:15" s="115" customFormat="1" ht="15.75">
      <c r="A101" s="113">
        <v>1224</v>
      </c>
      <c r="B101" s="118">
        <v>38509</v>
      </c>
      <c r="C101" s="119" t="s">
        <v>13</v>
      </c>
      <c r="D101" s="120">
        <v>70886</v>
      </c>
      <c r="E101" s="121">
        <f t="shared" si="1"/>
        <v>34.079807692307689</v>
      </c>
      <c r="F101" s="122">
        <f>YEARFRAC(B101,F9)</f>
        <v>9.5694444444444446</v>
      </c>
      <c r="G101" s="123">
        <v>16</v>
      </c>
      <c r="H101" s="124">
        <v>30</v>
      </c>
      <c r="I101" s="125"/>
      <c r="J101" s="126">
        <v>2</v>
      </c>
      <c r="K101" s="126">
        <v>1</v>
      </c>
      <c r="L101" s="126">
        <v>1</v>
      </c>
      <c r="M101" s="127" t="s">
        <v>51</v>
      </c>
      <c r="N101" s="127" t="str">
        <f>VLOOKUP(M101,F386:G389,2,FALSE)</f>
        <v>Northeast</v>
      </c>
      <c r="O101" s="114"/>
    </row>
    <row r="102" spans="1:15" ht="15.75">
      <c r="A102" s="62">
        <v>1226</v>
      </c>
      <c r="B102" s="118">
        <v>38510</v>
      </c>
      <c r="C102" s="119" t="s">
        <v>13</v>
      </c>
      <c r="D102" s="120">
        <v>27435</v>
      </c>
      <c r="E102" s="121">
        <f t="shared" si="1"/>
        <v>13.189903846153847</v>
      </c>
      <c r="F102" s="122">
        <f>YEARFRAC(B102,F9)</f>
        <v>9.5666666666666664</v>
      </c>
      <c r="G102" s="123">
        <v>12</v>
      </c>
      <c r="H102" s="124">
        <v>29</v>
      </c>
      <c r="I102" s="125"/>
      <c r="J102" s="126">
        <v>1</v>
      </c>
      <c r="K102" s="126">
        <v>1</v>
      </c>
      <c r="L102" s="126">
        <v>1</v>
      </c>
      <c r="M102" s="127" t="s">
        <v>52</v>
      </c>
      <c r="N102" s="127" t="str">
        <f>VLOOKUP(M102,F386:G389,2,FALSE)</f>
        <v>Midwest</v>
      </c>
    </row>
    <row r="103" spans="1:15" ht="15.75">
      <c r="A103" s="62">
        <v>1227</v>
      </c>
      <c r="B103" s="118">
        <v>38519</v>
      </c>
      <c r="C103" s="119" t="s">
        <v>13</v>
      </c>
      <c r="D103" s="120">
        <v>65234</v>
      </c>
      <c r="E103" s="121">
        <f t="shared" si="1"/>
        <v>31.362500000000001</v>
      </c>
      <c r="F103" s="122">
        <f>YEARFRAC(B103,F9)</f>
        <v>9.5416666666666661</v>
      </c>
      <c r="G103" s="123">
        <v>14</v>
      </c>
      <c r="H103" s="124">
        <v>45</v>
      </c>
      <c r="I103" s="125" t="str">
        <f>IF(F103&gt;=10,"Yes","No")</f>
        <v>No</v>
      </c>
      <c r="J103" s="126">
        <v>3</v>
      </c>
      <c r="K103" s="126">
        <v>1</v>
      </c>
      <c r="L103" s="126">
        <v>1</v>
      </c>
      <c r="M103" s="127" t="s">
        <v>52</v>
      </c>
      <c r="N103" s="127" t="str">
        <f>VLOOKUP(M103,F386:G389,2,FALSE)</f>
        <v>Midwest</v>
      </c>
    </row>
    <row r="104" spans="1:15" s="115" customFormat="1" ht="15.75">
      <c r="A104" s="113">
        <v>1227</v>
      </c>
      <c r="B104" s="118">
        <v>38556</v>
      </c>
      <c r="C104" s="119" t="s">
        <v>13</v>
      </c>
      <c r="D104" s="120">
        <v>50320</v>
      </c>
      <c r="E104" s="121">
        <f t="shared" si="1"/>
        <v>24.192307692307693</v>
      </c>
      <c r="F104" s="122">
        <f>YEARFRAC(B104,F9)</f>
        <v>9.4388888888888882</v>
      </c>
      <c r="G104" s="123">
        <v>12</v>
      </c>
      <c r="H104" s="124">
        <v>41</v>
      </c>
      <c r="I104" s="125"/>
      <c r="J104" s="126">
        <v>3</v>
      </c>
      <c r="K104" s="126">
        <v>1</v>
      </c>
      <c r="L104" s="126">
        <v>2</v>
      </c>
      <c r="M104" s="127" t="s">
        <v>51</v>
      </c>
      <c r="N104" s="127" t="str">
        <f>VLOOKUP(M104,F386:G389,2,FALSE)</f>
        <v>Northeast</v>
      </c>
      <c r="O104" s="114"/>
    </row>
    <row r="105" spans="1:15" ht="15.75">
      <c r="A105" s="62">
        <v>1232</v>
      </c>
      <c r="B105" s="118">
        <v>38572</v>
      </c>
      <c r="C105" s="119" t="s">
        <v>13</v>
      </c>
      <c r="D105" s="120">
        <v>37456</v>
      </c>
      <c r="E105" s="121">
        <f t="shared" si="1"/>
        <v>18.007692307692309</v>
      </c>
      <c r="F105" s="122">
        <f>YEARFRAC(B105,F9)</f>
        <v>9.3972222222222221</v>
      </c>
      <c r="G105" s="123">
        <v>12</v>
      </c>
      <c r="H105" s="124">
        <v>28</v>
      </c>
      <c r="I105" s="125"/>
      <c r="J105" s="126">
        <v>3</v>
      </c>
      <c r="K105" s="126">
        <v>1</v>
      </c>
      <c r="L105" s="126">
        <v>1</v>
      </c>
      <c r="M105" s="127" t="s">
        <v>52</v>
      </c>
      <c r="N105" s="127" t="str">
        <f>VLOOKUP(M105,F386:G389,2,FALSE)</f>
        <v>Midwest</v>
      </c>
    </row>
    <row r="106" spans="1:15" ht="15.75">
      <c r="A106" s="62">
        <v>1233</v>
      </c>
      <c r="B106" s="118">
        <v>38578</v>
      </c>
      <c r="C106" s="119" t="s">
        <v>13</v>
      </c>
      <c r="D106" s="120">
        <v>30577</v>
      </c>
      <c r="E106" s="121">
        <f t="shared" si="1"/>
        <v>14.700480769230769</v>
      </c>
      <c r="F106" s="122">
        <f>YEARFRAC(B106,F9)</f>
        <v>9.3805555555555564</v>
      </c>
      <c r="G106" s="123">
        <v>12</v>
      </c>
      <c r="H106" s="124">
        <v>21</v>
      </c>
      <c r="I106" s="125"/>
      <c r="J106" s="126">
        <v>3</v>
      </c>
      <c r="K106" s="126">
        <v>1</v>
      </c>
      <c r="L106" s="126">
        <v>2</v>
      </c>
      <c r="M106" s="127" t="s">
        <v>48</v>
      </c>
      <c r="N106" s="127" t="str">
        <f>VLOOKUP(M106,F386:G389,2,FALSE)</f>
        <v>C-Plains</v>
      </c>
    </row>
    <row r="107" spans="1:15" ht="15.75">
      <c r="A107" s="62">
        <v>1237</v>
      </c>
      <c r="B107" s="118">
        <v>38578</v>
      </c>
      <c r="C107" s="119" t="s">
        <v>13</v>
      </c>
      <c r="D107" s="120">
        <v>46904</v>
      </c>
      <c r="E107" s="121">
        <f t="shared" si="1"/>
        <v>22.55</v>
      </c>
      <c r="F107" s="122">
        <f>YEARFRAC(B107,F9)</f>
        <v>9.3805555555555564</v>
      </c>
      <c r="G107" s="123">
        <v>12</v>
      </c>
      <c r="H107" s="124">
        <v>38</v>
      </c>
      <c r="I107" s="125"/>
      <c r="J107" s="126">
        <v>1</v>
      </c>
      <c r="K107" s="126">
        <v>1</v>
      </c>
      <c r="L107" s="126">
        <v>1</v>
      </c>
      <c r="M107" s="127" t="s">
        <v>52</v>
      </c>
      <c r="N107" s="127" t="str">
        <f>VLOOKUP(M107,F386:G389,2,FALSE)</f>
        <v>Midwest</v>
      </c>
    </row>
    <row r="108" spans="1:15" ht="15.75">
      <c r="A108" s="62">
        <v>1246</v>
      </c>
      <c r="B108" s="118">
        <v>38615</v>
      </c>
      <c r="C108" s="119" t="s">
        <v>13</v>
      </c>
      <c r="D108" s="120">
        <v>82315</v>
      </c>
      <c r="E108" s="121">
        <f t="shared" si="1"/>
        <v>39.574519230769234</v>
      </c>
      <c r="F108" s="122">
        <f>YEARFRAC(B108,F9)</f>
        <v>9.280555555555555</v>
      </c>
      <c r="G108" s="123">
        <v>12</v>
      </c>
      <c r="H108" s="124">
        <v>54</v>
      </c>
      <c r="I108" s="125" t="str">
        <f>IF(F108&gt;=10,"Yes","No")</f>
        <v>No</v>
      </c>
      <c r="J108" s="126">
        <v>3</v>
      </c>
      <c r="K108" s="126">
        <v>2</v>
      </c>
      <c r="L108" s="126">
        <v>1</v>
      </c>
      <c r="M108" s="127" t="s">
        <v>52</v>
      </c>
      <c r="N108" s="127" t="str">
        <f>VLOOKUP(M108,F386:G389,2,FALSE)</f>
        <v>Midwest</v>
      </c>
    </row>
    <row r="109" spans="1:15" ht="15.75">
      <c r="A109" s="62">
        <v>1248</v>
      </c>
      <c r="B109" s="118">
        <v>38701</v>
      </c>
      <c r="C109" s="119" t="s">
        <v>13</v>
      </c>
      <c r="D109" s="120">
        <v>26156</v>
      </c>
      <c r="E109" s="121">
        <f t="shared" si="1"/>
        <v>12.574999999999999</v>
      </c>
      <c r="F109" s="122">
        <f>YEARFRAC(B109,F9)</f>
        <v>9.0444444444444443</v>
      </c>
      <c r="G109" s="123">
        <v>12</v>
      </c>
      <c r="H109" s="124">
        <v>25</v>
      </c>
      <c r="I109" s="125"/>
      <c r="J109" s="126">
        <v>3</v>
      </c>
      <c r="K109" s="126">
        <v>1</v>
      </c>
      <c r="L109" s="126">
        <v>1</v>
      </c>
      <c r="M109" s="127" t="s">
        <v>48</v>
      </c>
      <c r="N109" s="127" t="str">
        <f>VLOOKUP(M109,F386:G389,2,FALSE)</f>
        <v>C-Plains</v>
      </c>
    </row>
    <row r="110" spans="1:15" s="115" customFormat="1" ht="15.75">
      <c r="A110" s="113">
        <v>1254</v>
      </c>
      <c r="B110" s="118">
        <v>38701</v>
      </c>
      <c r="C110" s="119" t="s">
        <v>13</v>
      </c>
      <c r="D110" s="120">
        <v>39755</v>
      </c>
      <c r="E110" s="121">
        <f t="shared" si="1"/>
        <v>19.11298076923077</v>
      </c>
      <c r="F110" s="122">
        <f>YEARFRAC(B110,F9)</f>
        <v>9.0444444444444443</v>
      </c>
      <c r="G110" s="123">
        <v>12</v>
      </c>
      <c r="H110" s="124">
        <v>34</v>
      </c>
      <c r="I110" s="125"/>
      <c r="J110" s="126">
        <v>2</v>
      </c>
      <c r="K110" s="126">
        <v>1</v>
      </c>
      <c r="L110" s="126">
        <v>1</v>
      </c>
      <c r="M110" s="127" t="s">
        <v>51</v>
      </c>
      <c r="N110" s="127" t="str">
        <f>VLOOKUP(M110,F386:G389,2,FALSE)</f>
        <v>Northeast</v>
      </c>
      <c r="O110" s="114"/>
    </row>
    <row r="111" spans="1:15" s="115" customFormat="1" ht="15.75">
      <c r="A111" s="113">
        <v>1255</v>
      </c>
      <c r="B111" s="118">
        <v>38782</v>
      </c>
      <c r="C111" s="119" t="s">
        <v>13</v>
      </c>
      <c r="D111" s="120">
        <v>26621</v>
      </c>
      <c r="E111" s="121">
        <f t="shared" si="1"/>
        <v>12.798557692307693</v>
      </c>
      <c r="F111" s="122">
        <f>YEARFRAC(B111,F9)</f>
        <v>8.8194444444444446</v>
      </c>
      <c r="G111" s="123">
        <v>12</v>
      </c>
      <c r="H111" s="124">
        <v>27</v>
      </c>
      <c r="I111" s="125"/>
      <c r="J111" s="126">
        <v>3</v>
      </c>
      <c r="K111" s="126">
        <v>1</v>
      </c>
      <c r="L111" s="126">
        <v>2</v>
      </c>
      <c r="M111" s="127" t="s">
        <v>51</v>
      </c>
      <c r="N111" s="127" t="str">
        <f>VLOOKUP(M111,F386:G389,2,FALSE)</f>
        <v>Northeast</v>
      </c>
      <c r="O111" s="114"/>
    </row>
    <row r="112" spans="1:15" ht="15.75">
      <c r="A112" s="62">
        <v>1257</v>
      </c>
      <c r="B112" s="118">
        <v>38832</v>
      </c>
      <c r="C112" s="119" t="s">
        <v>13</v>
      </c>
      <c r="D112" s="120">
        <v>85463</v>
      </c>
      <c r="E112" s="121">
        <f t="shared" si="1"/>
        <v>41.087980769230768</v>
      </c>
      <c r="F112" s="122">
        <f>YEARFRAC(B112,F9)</f>
        <v>8.6833333333333336</v>
      </c>
      <c r="G112" s="123">
        <v>19</v>
      </c>
      <c r="H112" s="124">
        <v>38</v>
      </c>
      <c r="I112" s="125"/>
      <c r="J112" s="126">
        <v>3</v>
      </c>
      <c r="K112" s="126">
        <v>1</v>
      </c>
      <c r="L112" s="126">
        <v>1</v>
      </c>
      <c r="M112" s="127" t="s">
        <v>48</v>
      </c>
      <c r="N112" s="127" t="str">
        <f>VLOOKUP(M112,F386:G389,2,FALSE)</f>
        <v>C-Plains</v>
      </c>
    </row>
    <row r="113" spans="1:15" s="115" customFormat="1" ht="15.75">
      <c r="A113" s="113">
        <v>1257</v>
      </c>
      <c r="B113" s="118">
        <v>38904</v>
      </c>
      <c r="C113" s="119" t="s">
        <v>13</v>
      </c>
      <c r="D113" s="120">
        <v>34232</v>
      </c>
      <c r="E113" s="121">
        <f t="shared" si="1"/>
        <v>16.457692307692309</v>
      </c>
      <c r="F113" s="122">
        <f>YEARFRAC(B113,F9)</f>
        <v>8.4861111111111107</v>
      </c>
      <c r="G113" s="123">
        <v>12</v>
      </c>
      <c r="H113" s="124">
        <v>28</v>
      </c>
      <c r="I113" s="125"/>
      <c r="J113" s="126">
        <v>3</v>
      </c>
      <c r="K113" s="126">
        <v>1</v>
      </c>
      <c r="L113" s="126">
        <v>2</v>
      </c>
      <c r="M113" s="127" t="s">
        <v>51</v>
      </c>
      <c r="N113" s="127" t="str">
        <f>VLOOKUP(M113,F386:G389,2,FALSE)</f>
        <v>Northeast</v>
      </c>
      <c r="O113" s="114"/>
    </row>
    <row r="114" spans="1:15" ht="15.75">
      <c r="A114" s="62">
        <v>1258</v>
      </c>
      <c r="B114" s="118">
        <v>38910</v>
      </c>
      <c r="C114" s="119" t="s">
        <v>13</v>
      </c>
      <c r="D114" s="120">
        <v>70234</v>
      </c>
      <c r="E114" s="121">
        <f t="shared" si="1"/>
        <v>33.76634615384615</v>
      </c>
      <c r="F114" s="122">
        <f>YEARFRAC(B114,F9)</f>
        <v>8.469444444444445</v>
      </c>
      <c r="G114" s="123">
        <v>12</v>
      </c>
      <c r="H114" s="124">
        <v>46</v>
      </c>
      <c r="I114" s="125" t="str">
        <f>IF(F114&gt;=10,"Yes","No")</f>
        <v>No</v>
      </c>
      <c r="J114" s="126">
        <v>3</v>
      </c>
      <c r="K114" s="126">
        <v>1</v>
      </c>
      <c r="L114" s="126">
        <v>1</v>
      </c>
      <c r="M114" s="127" t="s">
        <v>48</v>
      </c>
      <c r="N114" s="127" t="str">
        <f>VLOOKUP(M114,F386:G389,2,FALSE)</f>
        <v>C-Plains</v>
      </c>
    </row>
    <row r="115" spans="1:15" ht="15.75">
      <c r="A115" s="62">
        <v>1261</v>
      </c>
      <c r="B115" s="118">
        <v>38934</v>
      </c>
      <c r="C115" s="119" t="s">
        <v>13</v>
      </c>
      <c r="D115" s="120">
        <v>30165</v>
      </c>
      <c r="E115" s="121">
        <f t="shared" si="1"/>
        <v>14.502403846153847</v>
      </c>
      <c r="F115" s="122">
        <f>YEARFRAC(B115,F9)</f>
        <v>8.405555555555555</v>
      </c>
      <c r="G115" s="123">
        <v>12</v>
      </c>
      <c r="H115" s="124">
        <v>20</v>
      </c>
      <c r="I115" s="125"/>
      <c r="J115" s="126">
        <v>3</v>
      </c>
      <c r="K115" s="126">
        <v>1</v>
      </c>
      <c r="L115" s="126">
        <v>2</v>
      </c>
      <c r="M115" s="127" t="s">
        <v>52</v>
      </c>
      <c r="N115" s="127" t="str">
        <f>VLOOKUP(M115,F386:G389,2,FALSE)</f>
        <v>Midwest</v>
      </c>
    </row>
    <row r="116" spans="1:15" ht="15.75">
      <c r="A116" s="62">
        <v>1261</v>
      </c>
      <c r="B116" s="118">
        <v>38938</v>
      </c>
      <c r="C116" s="119" t="s">
        <v>13</v>
      </c>
      <c r="D116" s="120">
        <v>68014</v>
      </c>
      <c r="E116" s="121">
        <f t="shared" si="1"/>
        <v>32.699038461538464</v>
      </c>
      <c r="F116" s="122">
        <f>YEARFRAC(B116,F9)</f>
        <v>8.3944444444444439</v>
      </c>
      <c r="G116" s="123">
        <v>12</v>
      </c>
      <c r="H116" s="124">
        <v>33</v>
      </c>
      <c r="I116" s="125"/>
      <c r="J116" s="126">
        <v>1</v>
      </c>
      <c r="K116" s="126">
        <v>2</v>
      </c>
      <c r="L116" s="126">
        <v>2</v>
      </c>
      <c r="M116" s="127" t="s">
        <v>52</v>
      </c>
      <c r="N116" s="127" t="str">
        <f>VLOOKUP(M116,F386:G389,2,FALSE)</f>
        <v>Midwest</v>
      </c>
    </row>
    <row r="117" spans="1:15" ht="15.75">
      <c r="A117" s="62">
        <v>1265</v>
      </c>
      <c r="B117" s="118">
        <v>38941</v>
      </c>
      <c r="C117" s="119" t="s">
        <v>13</v>
      </c>
      <c r="D117" s="120">
        <v>29632</v>
      </c>
      <c r="E117" s="121">
        <f t="shared" si="1"/>
        <v>14.246153846153845</v>
      </c>
      <c r="F117" s="122">
        <f>YEARFRAC(B117,F9)</f>
        <v>8.3861111111111111</v>
      </c>
      <c r="G117" s="123">
        <v>16</v>
      </c>
      <c r="H117" s="124">
        <v>24</v>
      </c>
      <c r="I117" s="125"/>
      <c r="J117" s="126">
        <v>1</v>
      </c>
      <c r="K117" s="126">
        <v>1</v>
      </c>
      <c r="L117" s="126">
        <v>2</v>
      </c>
      <c r="M117" s="127" t="s">
        <v>48</v>
      </c>
      <c r="N117" s="127" t="str">
        <f>VLOOKUP(M117,F386:G389,2,FALSE)</f>
        <v>C-Plains</v>
      </c>
    </row>
    <row r="118" spans="1:15" ht="15.75">
      <c r="A118" s="62">
        <v>1265</v>
      </c>
      <c r="B118" s="118">
        <v>38945</v>
      </c>
      <c r="C118" s="119" t="s">
        <v>13</v>
      </c>
      <c r="D118" s="120">
        <v>85825</v>
      </c>
      <c r="E118" s="121">
        <f t="shared" si="1"/>
        <v>41.262019230769234</v>
      </c>
      <c r="F118" s="122">
        <f>YEARFRAC(B118,F9)</f>
        <v>8.375</v>
      </c>
      <c r="G118" s="123">
        <v>19</v>
      </c>
      <c r="H118" s="124">
        <v>40</v>
      </c>
      <c r="I118" s="125"/>
      <c r="J118" s="126">
        <v>3</v>
      </c>
      <c r="K118" s="126">
        <v>2</v>
      </c>
      <c r="L118" s="126">
        <v>1</v>
      </c>
      <c r="M118" s="127" t="s">
        <v>48</v>
      </c>
      <c r="N118" s="127" t="str">
        <f>VLOOKUP(M118,F386:G389,2,FALSE)</f>
        <v>C-Plains</v>
      </c>
    </row>
    <row r="119" spans="1:15" ht="15.75">
      <c r="A119" s="62">
        <v>1267</v>
      </c>
      <c r="B119" s="118">
        <v>38970</v>
      </c>
      <c r="C119" s="119" t="s">
        <v>13</v>
      </c>
      <c r="D119" s="120">
        <v>44747</v>
      </c>
      <c r="E119" s="121">
        <f t="shared" si="1"/>
        <v>21.512980769230769</v>
      </c>
      <c r="F119" s="122">
        <f>YEARFRAC(B119,F9)</f>
        <v>8.3083333333333336</v>
      </c>
      <c r="G119" s="123">
        <v>12</v>
      </c>
      <c r="H119" s="124">
        <v>35</v>
      </c>
      <c r="I119" s="125"/>
      <c r="J119" s="126">
        <v>2</v>
      </c>
      <c r="K119" s="126">
        <v>1</v>
      </c>
      <c r="L119" s="126">
        <v>1</v>
      </c>
      <c r="M119" s="127" t="s">
        <v>52</v>
      </c>
      <c r="N119" s="127" t="str">
        <f>VLOOKUP(M119,F386:G389,2,FALSE)</f>
        <v>Midwest</v>
      </c>
    </row>
    <row r="120" spans="1:15" s="129" customFormat="1" ht="15.75">
      <c r="A120" s="117">
        <v>1269</v>
      </c>
      <c r="B120" s="118">
        <v>38972</v>
      </c>
      <c r="C120" s="119" t="s">
        <v>13</v>
      </c>
      <c r="D120" s="120">
        <v>76577</v>
      </c>
      <c r="E120" s="121">
        <f t="shared" si="1"/>
        <v>36.815865384615385</v>
      </c>
      <c r="F120" s="122">
        <f>YEARFRAC(B120,F9)</f>
        <v>8.3027777777777771</v>
      </c>
      <c r="G120" s="123">
        <v>16</v>
      </c>
      <c r="H120" s="124">
        <v>39</v>
      </c>
      <c r="I120" s="125"/>
      <c r="J120" s="126">
        <v>3</v>
      </c>
      <c r="K120" s="126">
        <v>2</v>
      </c>
      <c r="L120" s="126">
        <v>2</v>
      </c>
      <c r="M120" s="127" t="s">
        <v>48</v>
      </c>
      <c r="N120" s="127" t="str">
        <f>VLOOKUP(M120,F386:G389,2,FALSE)</f>
        <v>C-Plains</v>
      </c>
      <c r="O120" s="128"/>
    </row>
    <row r="121" spans="1:15" s="115" customFormat="1" ht="15.75">
      <c r="A121" s="113">
        <v>1272</v>
      </c>
      <c r="B121" s="118">
        <v>38973</v>
      </c>
      <c r="C121" s="119" t="s">
        <v>13</v>
      </c>
      <c r="D121" s="120">
        <v>100515</v>
      </c>
      <c r="E121" s="121">
        <f t="shared" si="1"/>
        <v>48.324519230769234</v>
      </c>
      <c r="F121" s="122">
        <f>YEARFRAC(B121,F9)</f>
        <v>8.3000000000000007</v>
      </c>
      <c r="G121" s="123">
        <v>19</v>
      </c>
      <c r="H121" s="124">
        <v>52</v>
      </c>
      <c r="I121" s="125"/>
      <c r="J121" s="126">
        <v>3</v>
      </c>
      <c r="K121" s="126">
        <v>1</v>
      </c>
      <c r="L121" s="126">
        <v>1</v>
      </c>
      <c r="M121" s="127" t="s">
        <v>51</v>
      </c>
      <c r="N121" s="127" t="str">
        <f>VLOOKUP(M121,F386:G389,2,FALSE)</f>
        <v>Northeast</v>
      </c>
      <c r="O121" s="114"/>
    </row>
    <row r="122" spans="1:15" ht="15.75">
      <c r="A122" s="62">
        <v>1276</v>
      </c>
      <c r="B122" s="118">
        <v>39010</v>
      </c>
      <c r="C122" s="119" t="s">
        <v>13</v>
      </c>
      <c r="D122" s="120">
        <v>65469</v>
      </c>
      <c r="E122" s="121">
        <f t="shared" si="1"/>
        <v>31.475480769230771</v>
      </c>
      <c r="F122" s="122">
        <f>YEARFRAC(B122,F9)</f>
        <v>8.1972222222222229</v>
      </c>
      <c r="G122" s="123">
        <v>16</v>
      </c>
      <c r="H122" s="124">
        <v>32</v>
      </c>
      <c r="I122" s="125"/>
      <c r="J122" s="126">
        <v>3</v>
      </c>
      <c r="K122" s="126">
        <v>1</v>
      </c>
      <c r="L122" s="126">
        <v>1</v>
      </c>
      <c r="M122" s="127" t="s">
        <v>48</v>
      </c>
      <c r="N122" s="127" t="str">
        <f>VLOOKUP(M122,F386:G389,2,FALSE)</f>
        <v>C-Plains</v>
      </c>
    </row>
    <row r="123" spans="1:15" ht="15.75">
      <c r="A123" s="62">
        <v>1279</v>
      </c>
      <c r="B123" s="118">
        <v>39012</v>
      </c>
      <c r="C123" s="119" t="s">
        <v>13</v>
      </c>
      <c r="D123" s="120">
        <v>46057</v>
      </c>
      <c r="E123" s="121">
        <f t="shared" si="1"/>
        <v>22.142788461538462</v>
      </c>
      <c r="F123" s="122">
        <f>YEARFRAC(B123,F9)</f>
        <v>8.1916666666666664</v>
      </c>
      <c r="G123" s="123">
        <v>12</v>
      </c>
      <c r="H123" s="124">
        <v>37</v>
      </c>
      <c r="I123" s="125"/>
      <c r="J123" s="126">
        <v>1</v>
      </c>
      <c r="K123" s="126">
        <v>1</v>
      </c>
      <c r="L123" s="126">
        <v>1</v>
      </c>
      <c r="M123" s="127" t="s">
        <v>48</v>
      </c>
      <c r="N123" s="127" t="str">
        <f>VLOOKUP(M123,F386:G389,2,FALSE)</f>
        <v>C-Plains</v>
      </c>
    </row>
    <row r="124" spans="1:15" s="115" customFormat="1" ht="15.75">
      <c r="A124" s="113">
        <v>1280</v>
      </c>
      <c r="B124" s="118">
        <v>39023</v>
      </c>
      <c r="C124" s="119" t="s">
        <v>29</v>
      </c>
      <c r="D124" s="120">
        <v>29442</v>
      </c>
      <c r="E124" s="121">
        <f t="shared" si="1"/>
        <v>14.154807692307692</v>
      </c>
      <c r="F124" s="122">
        <f>YEARFRAC(B124,F9)</f>
        <v>8.1638888888888896</v>
      </c>
      <c r="G124" s="123">
        <v>16</v>
      </c>
      <c r="H124" s="124">
        <v>22</v>
      </c>
      <c r="I124" s="125"/>
      <c r="J124" s="126">
        <v>3</v>
      </c>
      <c r="K124" s="126">
        <v>2</v>
      </c>
      <c r="L124" s="126">
        <v>1</v>
      </c>
      <c r="M124" s="127" t="s">
        <v>51</v>
      </c>
      <c r="N124" s="127" t="str">
        <f>VLOOKUP(M124,F386:G389,2,FALSE)</f>
        <v>Northeast</v>
      </c>
      <c r="O124" s="114"/>
    </row>
    <row r="125" spans="1:15" ht="15.75">
      <c r="A125" s="62">
        <v>1285</v>
      </c>
      <c r="B125" s="118">
        <v>39027</v>
      </c>
      <c r="C125" s="119" t="s">
        <v>29</v>
      </c>
      <c r="D125" s="120">
        <v>53064</v>
      </c>
      <c r="E125" s="121">
        <f t="shared" si="1"/>
        <v>25.511538461538461</v>
      </c>
      <c r="F125" s="122">
        <f>YEARFRAC(B125,F9)</f>
        <v>8.1527777777777786</v>
      </c>
      <c r="G125" s="123">
        <v>16</v>
      </c>
      <c r="H125" s="124">
        <v>26</v>
      </c>
      <c r="I125" s="125"/>
      <c r="J125" s="126">
        <v>3</v>
      </c>
      <c r="K125" s="126">
        <v>2</v>
      </c>
      <c r="L125" s="126">
        <v>2</v>
      </c>
      <c r="M125" s="127" t="s">
        <v>48</v>
      </c>
      <c r="N125" s="127" t="str">
        <f>VLOOKUP(M125,F386:G389,2,FALSE)</f>
        <v>C-Plains</v>
      </c>
    </row>
    <row r="126" spans="1:15" ht="15.75">
      <c r="A126" s="62">
        <v>1288</v>
      </c>
      <c r="B126" s="118">
        <v>39103</v>
      </c>
      <c r="C126" s="119" t="s">
        <v>29</v>
      </c>
      <c r="D126" s="120">
        <v>70708</v>
      </c>
      <c r="E126" s="121">
        <f t="shared" si="1"/>
        <v>33.994230769230768</v>
      </c>
      <c r="F126" s="122">
        <f>YEARFRAC(B126,F9)</f>
        <v>7.9444444444444446</v>
      </c>
      <c r="G126" s="123">
        <v>16</v>
      </c>
      <c r="H126" s="124">
        <v>41</v>
      </c>
      <c r="I126" s="125"/>
      <c r="J126" s="126">
        <v>1</v>
      </c>
      <c r="K126" s="126">
        <v>1</v>
      </c>
      <c r="L126" s="126">
        <v>2</v>
      </c>
      <c r="M126" s="127" t="s">
        <v>48</v>
      </c>
      <c r="N126" s="127" t="str">
        <f>VLOOKUP(M126,F386:G389,2,FALSE)</f>
        <v>C-Plains</v>
      </c>
    </row>
    <row r="127" spans="1:15" ht="15.75">
      <c r="A127" s="62">
        <v>1289</v>
      </c>
      <c r="B127" s="118">
        <v>39128</v>
      </c>
      <c r="C127" s="119" t="s">
        <v>29</v>
      </c>
      <c r="D127" s="120">
        <v>17943</v>
      </c>
      <c r="E127" s="121">
        <f t="shared" si="1"/>
        <v>8.626442307692308</v>
      </c>
      <c r="F127" s="122">
        <f>YEARFRAC(B127,F9)</f>
        <v>7.8777777777777782</v>
      </c>
      <c r="G127" s="123">
        <v>12</v>
      </c>
      <c r="H127" s="124">
        <v>19</v>
      </c>
      <c r="I127" s="125"/>
      <c r="J127" s="126">
        <v>1</v>
      </c>
      <c r="K127" s="126">
        <v>1</v>
      </c>
      <c r="L127" s="126">
        <v>2</v>
      </c>
      <c r="M127" s="127" t="s">
        <v>48</v>
      </c>
      <c r="N127" s="127" t="str">
        <f>VLOOKUP(M127,F386:G389,2,FALSE)</f>
        <v>C-Plains</v>
      </c>
    </row>
    <row r="128" spans="1:15" ht="15.75">
      <c r="A128" s="62">
        <v>1289</v>
      </c>
      <c r="B128" s="118">
        <v>39135</v>
      </c>
      <c r="C128" s="119" t="s">
        <v>29</v>
      </c>
      <c r="D128" s="120">
        <v>50078</v>
      </c>
      <c r="E128" s="121">
        <f t="shared" si="1"/>
        <v>24.075961538461538</v>
      </c>
      <c r="F128" s="122">
        <f>YEARFRAC(B128,F9)</f>
        <v>7.8583333333333334</v>
      </c>
      <c r="G128" s="123">
        <v>12</v>
      </c>
      <c r="H128" s="124">
        <v>40</v>
      </c>
      <c r="I128" s="125"/>
      <c r="J128" s="126">
        <v>1</v>
      </c>
      <c r="K128" s="126">
        <v>1</v>
      </c>
      <c r="L128" s="126">
        <v>1</v>
      </c>
      <c r="M128" s="127" t="s">
        <v>52</v>
      </c>
      <c r="N128" s="127" t="str">
        <f>VLOOKUP(M128,F386:G389,2,FALSE)</f>
        <v>Midwest</v>
      </c>
    </row>
    <row r="129" spans="1:15" s="115" customFormat="1" ht="15.75">
      <c r="A129" s="113">
        <v>1292</v>
      </c>
      <c r="B129" s="118">
        <v>39142</v>
      </c>
      <c r="C129" s="119" t="s">
        <v>29</v>
      </c>
      <c r="D129" s="120">
        <v>56815</v>
      </c>
      <c r="E129" s="121">
        <f t="shared" si="1"/>
        <v>27.314903846153847</v>
      </c>
      <c r="F129" s="122">
        <f>YEARFRAC(B129,F9)</f>
        <v>7.833333333333333</v>
      </c>
      <c r="G129" s="123">
        <v>14</v>
      </c>
      <c r="H129" s="124">
        <v>50</v>
      </c>
      <c r="I129" s="125" t="str">
        <f>IF(F129&gt;=10,"Yes","No")</f>
        <v>No</v>
      </c>
      <c r="J129" s="126">
        <v>3</v>
      </c>
      <c r="K129" s="126">
        <v>1</v>
      </c>
      <c r="L129" s="126">
        <v>1</v>
      </c>
      <c r="M129" s="127" t="s">
        <v>51</v>
      </c>
      <c r="N129" s="127" t="str">
        <f>VLOOKUP(M129,F386:G389,2,FALSE)</f>
        <v>Northeast</v>
      </c>
      <c r="O129" s="114"/>
    </row>
    <row r="130" spans="1:15" ht="15.75">
      <c r="A130" s="62">
        <v>1295</v>
      </c>
      <c r="B130" s="118">
        <v>39155</v>
      </c>
      <c r="C130" s="119" t="s">
        <v>29</v>
      </c>
      <c r="D130" s="120">
        <v>45670</v>
      </c>
      <c r="E130" s="121">
        <f t="shared" si="1"/>
        <v>21.95673076923077</v>
      </c>
      <c r="F130" s="122">
        <f>YEARFRAC(B130,F9)</f>
        <v>7.7972222222222225</v>
      </c>
      <c r="G130" s="123">
        <v>12</v>
      </c>
      <c r="H130" s="124">
        <v>30</v>
      </c>
      <c r="I130" s="125"/>
      <c r="J130" s="126">
        <v>3</v>
      </c>
      <c r="K130" s="126">
        <v>2</v>
      </c>
      <c r="L130" s="126">
        <v>1</v>
      </c>
      <c r="M130" s="127" t="s">
        <v>48</v>
      </c>
      <c r="N130" s="127" t="str">
        <f>VLOOKUP(M130,F386:G389,2,FALSE)</f>
        <v>C-Plains</v>
      </c>
    </row>
    <row r="131" spans="1:15" s="115" customFormat="1" ht="15.75">
      <c r="A131" s="113">
        <v>1296</v>
      </c>
      <c r="B131" s="118">
        <v>39157</v>
      </c>
      <c r="C131" s="119" t="s">
        <v>29</v>
      </c>
      <c r="D131" s="120">
        <v>28901</v>
      </c>
      <c r="E131" s="121">
        <f t="shared" si="1"/>
        <v>13.894711538461538</v>
      </c>
      <c r="F131" s="122">
        <f>YEARFRAC(B131,F9)</f>
        <v>7.791666666666667</v>
      </c>
      <c r="G131" s="123">
        <v>14</v>
      </c>
      <c r="H131" s="124">
        <v>36</v>
      </c>
      <c r="I131" s="125" t="str">
        <f>IF(F131&gt;=10,"Yes","No")</f>
        <v>No</v>
      </c>
      <c r="J131" s="126">
        <v>3</v>
      </c>
      <c r="K131" s="126">
        <v>1</v>
      </c>
      <c r="L131" s="126">
        <v>1</v>
      </c>
      <c r="M131" s="127" t="s">
        <v>51</v>
      </c>
      <c r="N131" s="127" t="str">
        <f>VLOOKUP(M131,F386:G389,2,FALSE)</f>
        <v>Northeast</v>
      </c>
      <c r="O131" s="114"/>
    </row>
    <row r="132" spans="1:15" ht="15.75">
      <c r="A132" s="62">
        <v>1296</v>
      </c>
      <c r="B132" s="118">
        <v>39181</v>
      </c>
      <c r="C132" s="119" t="s">
        <v>35</v>
      </c>
      <c r="D132" s="120">
        <v>52765</v>
      </c>
      <c r="E132" s="121">
        <f t="shared" si="1"/>
        <v>25.36778846153846</v>
      </c>
      <c r="F132" s="122">
        <f>YEARFRAC(B132,F9)</f>
        <v>7.7277777777777779</v>
      </c>
      <c r="G132" s="123">
        <v>12</v>
      </c>
      <c r="H132" s="124">
        <v>29</v>
      </c>
      <c r="I132" s="125"/>
      <c r="J132" s="126">
        <v>4</v>
      </c>
      <c r="K132" s="126">
        <v>2</v>
      </c>
      <c r="L132" s="126">
        <v>1</v>
      </c>
      <c r="M132" s="127" t="s">
        <v>52</v>
      </c>
      <c r="N132" s="127" t="str">
        <f>VLOOKUP(M132,F386:G389,2,FALSE)</f>
        <v>Midwest</v>
      </c>
    </row>
    <row r="133" spans="1:15" ht="15.75">
      <c r="A133" s="62">
        <v>1296</v>
      </c>
      <c r="B133" s="118">
        <v>39187</v>
      </c>
      <c r="C133" s="119" t="s">
        <v>34</v>
      </c>
      <c r="D133" s="120">
        <v>53487</v>
      </c>
      <c r="E133" s="121">
        <f t="shared" si="1"/>
        <v>25.714903846153845</v>
      </c>
      <c r="F133" s="122">
        <f>YEARFRAC(B133,F9)</f>
        <v>7.7111111111111112</v>
      </c>
      <c r="G133" s="123">
        <v>16</v>
      </c>
      <c r="H133" s="124">
        <v>34</v>
      </c>
      <c r="I133" s="125"/>
      <c r="J133" s="126">
        <v>3</v>
      </c>
      <c r="K133" s="126">
        <v>1</v>
      </c>
      <c r="L133" s="126">
        <v>1</v>
      </c>
      <c r="M133" s="127" t="s">
        <v>48</v>
      </c>
      <c r="N133" s="127" t="str">
        <f>VLOOKUP(M133,F386:G389,2,FALSE)</f>
        <v>C-Plains</v>
      </c>
    </row>
    <row r="134" spans="1:15" s="129" customFormat="1" ht="15.75">
      <c r="A134" s="117">
        <v>1297</v>
      </c>
      <c r="B134" s="118">
        <v>39204</v>
      </c>
      <c r="C134" s="119" t="s">
        <v>34</v>
      </c>
      <c r="D134" s="120">
        <v>69628</v>
      </c>
      <c r="E134" s="121">
        <f t="shared" si="1"/>
        <v>33.475000000000001</v>
      </c>
      <c r="F134" s="122">
        <f>YEARFRAC(B134,F9)</f>
        <v>7.6638888888888888</v>
      </c>
      <c r="G134" s="123">
        <v>12</v>
      </c>
      <c r="H134" s="124">
        <v>41</v>
      </c>
      <c r="I134" s="125"/>
      <c r="J134" s="126">
        <v>3</v>
      </c>
      <c r="K134" s="126">
        <v>1</v>
      </c>
      <c r="L134" s="126">
        <v>2</v>
      </c>
      <c r="M134" s="127" t="s">
        <v>52</v>
      </c>
      <c r="N134" s="127" t="str">
        <f>VLOOKUP(M134,F386:G389,2,FALSE)</f>
        <v>Midwest</v>
      </c>
      <c r="O134" s="128"/>
    </row>
    <row r="135" spans="1:15" s="115" customFormat="1" ht="15.75">
      <c r="A135" s="113">
        <v>1299</v>
      </c>
      <c r="B135" s="118">
        <v>39208</v>
      </c>
      <c r="C135" s="119" t="s">
        <v>34</v>
      </c>
      <c r="D135" s="120">
        <v>85286</v>
      </c>
      <c r="E135" s="121">
        <f t="shared" si="1"/>
        <v>41.002884615384616</v>
      </c>
      <c r="F135" s="122">
        <f>YEARFRAC(B135,F9)</f>
        <v>7.6527777777777777</v>
      </c>
      <c r="G135" s="123">
        <v>16</v>
      </c>
      <c r="H135" s="124">
        <v>47</v>
      </c>
      <c r="I135" s="125"/>
      <c r="J135" s="126">
        <v>1</v>
      </c>
      <c r="K135" s="126">
        <v>1</v>
      </c>
      <c r="L135" s="126">
        <v>1</v>
      </c>
      <c r="M135" s="127" t="s">
        <v>51</v>
      </c>
      <c r="N135" s="127" t="str">
        <f>VLOOKUP(M135,F386:G389,2,FALSE)</f>
        <v>Northeast</v>
      </c>
      <c r="O135" s="114"/>
    </row>
    <row r="136" spans="1:15" s="115" customFormat="1" ht="15.75">
      <c r="A136" s="113">
        <v>1300</v>
      </c>
      <c r="B136" s="118">
        <v>39208</v>
      </c>
      <c r="C136" s="119" t="s">
        <v>34</v>
      </c>
      <c r="D136" s="120">
        <v>80637</v>
      </c>
      <c r="E136" s="121">
        <f t="shared" si="1"/>
        <v>38.767788461538458</v>
      </c>
      <c r="F136" s="122">
        <f>YEARFRAC(B136,F9)</f>
        <v>7.6527777777777777</v>
      </c>
      <c r="G136" s="123">
        <v>16</v>
      </c>
      <c r="H136" s="124">
        <v>36</v>
      </c>
      <c r="I136" s="125"/>
      <c r="J136" s="126">
        <v>3</v>
      </c>
      <c r="K136" s="126">
        <v>2</v>
      </c>
      <c r="L136" s="126">
        <v>1</v>
      </c>
      <c r="M136" s="127" t="s">
        <v>51</v>
      </c>
      <c r="N136" s="127" t="str">
        <f>VLOOKUP(M136,F386:G389,2,FALSE)</f>
        <v>Northeast</v>
      </c>
      <c r="O136" s="114"/>
    </row>
    <row r="137" spans="1:15" s="115" customFormat="1" ht="15.75">
      <c r="A137" s="113">
        <v>1300</v>
      </c>
      <c r="B137" s="118">
        <v>39223</v>
      </c>
      <c r="C137" s="119" t="s">
        <v>34</v>
      </c>
      <c r="D137" s="120">
        <v>36882</v>
      </c>
      <c r="E137" s="121">
        <f t="shared" si="1"/>
        <v>17.731730769230769</v>
      </c>
      <c r="F137" s="122">
        <f>YEARFRAC(B137,F9)</f>
        <v>7.6111111111111107</v>
      </c>
      <c r="G137" s="123">
        <v>12</v>
      </c>
      <c r="H137" s="124">
        <v>32</v>
      </c>
      <c r="I137" s="125"/>
      <c r="J137" s="126">
        <v>3</v>
      </c>
      <c r="K137" s="126">
        <v>1</v>
      </c>
      <c r="L137" s="126">
        <v>2</v>
      </c>
      <c r="M137" s="127" t="s">
        <v>51</v>
      </c>
      <c r="N137" s="127" t="str">
        <f>VLOOKUP(M137,F386:G389,2,FALSE)</f>
        <v>Northeast</v>
      </c>
      <c r="O137" s="114"/>
    </row>
    <row r="138" spans="1:15" ht="15.75">
      <c r="A138" s="62">
        <v>1308</v>
      </c>
      <c r="B138" s="118">
        <v>39235</v>
      </c>
      <c r="C138" s="119" t="s">
        <v>34</v>
      </c>
      <c r="D138" s="120">
        <v>75261</v>
      </c>
      <c r="E138" s="121">
        <f t="shared" si="1"/>
        <v>36.183173076923076</v>
      </c>
      <c r="F138" s="122">
        <f>YEARFRAC(B138,F9)</f>
        <v>7.5805555555555557</v>
      </c>
      <c r="G138" s="123">
        <v>16</v>
      </c>
      <c r="H138" s="124">
        <v>31</v>
      </c>
      <c r="I138" s="125"/>
      <c r="J138" s="126">
        <v>3</v>
      </c>
      <c r="K138" s="126">
        <v>1</v>
      </c>
      <c r="L138" s="126">
        <v>1</v>
      </c>
      <c r="M138" s="127" t="s">
        <v>48</v>
      </c>
      <c r="N138" s="127" t="str">
        <f>VLOOKUP(M138,F386:G389,2,FALSE)</f>
        <v>C-Plains</v>
      </c>
    </row>
    <row r="139" spans="1:15" ht="15.75">
      <c r="A139" s="62">
        <v>1308</v>
      </c>
      <c r="B139" s="118">
        <v>39240</v>
      </c>
      <c r="C139" s="119" t="s">
        <v>34</v>
      </c>
      <c r="D139" s="120">
        <v>88698</v>
      </c>
      <c r="E139" s="121">
        <f t="shared" ref="E139:E202" si="2">D139/Annual_Hrs</f>
        <v>42.643269230769228</v>
      </c>
      <c r="F139" s="122">
        <f>YEARFRAC(B139,F9)</f>
        <v>7.5666666666666664</v>
      </c>
      <c r="G139" s="123">
        <v>19</v>
      </c>
      <c r="H139" s="124">
        <v>43</v>
      </c>
      <c r="I139" s="125" t="str">
        <f>IF(F139&gt;=10,"Yes","No")</f>
        <v>No</v>
      </c>
      <c r="J139" s="126">
        <v>2</v>
      </c>
      <c r="K139" s="126">
        <v>2</v>
      </c>
      <c r="L139" s="126">
        <v>1</v>
      </c>
      <c r="M139" s="127" t="s">
        <v>52</v>
      </c>
      <c r="N139" s="127" t="str">
        <f>VLOOKUP(M139,F386:G389,2,FALSE)</f>
        <v>Midwest</v>
      </c>
    </row>
    <row r="140" spans="1:15" ht="15.75">
      <c r="A140" s="62">
        <v>1308</v>
      </c>
      <c r="B140" s="118">
        <v>39242</v>
      </c>
      <c r="C140" s="119" t="s">
        <v>34</v>
      </c>
      <c r="D140" s="120">
        <v>58742</v>
      </c>
      <c r="E140" s="121">
        <f t="shared" si="2"/>
        <v>28.241346153846155</v>
      </c>
      <c r="F140" s="122">
        <f>YEARFRAC(B140,F9)</f>
        <v>7.5611111111111109</v>
      </c>
      <c r="G140" s="123">
        <v>14</v>
      </c>
      <c r="H140" s="124">
        <v>51</v>
      </c>
      <c r="I140" s="125" t="str">
        <f>IF(F140&gt;=10,"Yes","No")</f>
        <v>No</v>
      </c>
      <c r="J140" s="126">
        <v>3</v>
      </c>
      <c r="K140" s="126">
        <v>1</v>
      </c>
      <c r="L140" s="126">
        <v>2</v>
      </c>
      <c r="M140" s="127" t="s">
        <v>48</v>
      </c>
      <c r="N140" s="127" t="str">
        <f>VLOOKUP(M140,F386:G389,2,FALSE)</f>
        <v>C-Plains</v>
      </c>
    </row>
    <row r="141" spans="1:15" ht="15.75">
      <c r="A141" s="62">
        <v>1314</v>
      </c>
      <c r="B141" s="118">
        <v>39248</v>
      </c>
      <c r="C141" s="119" t="s">
        <v>12</v>
      </c>
      <c r="D141" s="120">
        <v>44765</v>
      </c>
      <c r="E141" s="121">
        <f t="shared" si="2"/>
        <v>21.521634615384617</v>
      </c>
      <c r="F141" s="122">
        <f>YEARFRAC(B141,F9)</f>
        <v>7.5444444444444443</v>
      </c>
      <c r="G141" s="123">
        <v>12</v>
      </c>
      <c r="H141" s="124">
        <v>35</v>
      </c>
      <c r="I141" s="125"/>
      <c r="J141" s="126">
        <v>1</v>
      </c>
      <c r="K141" s="126">
        <v>1</v>
      </c>
      <c r="L141" s="126">
        <v>1</v>
      </c>
      <c r="M141" s="127" t="s">
        <v>52</v>
      </c>
      <c r="N141" s="127" t="str">
        <f>VLOOKUP(M141,F386:G389,2,FALSE)</f>
        <v>Midwest</v>
      </c>
    </row>
    <row r="142" spans="1:15" ht="15.75">
      <c r="A142" s="62">
        <v>1315</v>
      </c>
      <c r="B142" s="118">
        <v>39258</v>
      </c>
      <c r="C142" s="119" t="s">
        <v>12</v>
      </c>
      <c r="D142" s="120">
        <v>49672</v>
      </c>
      <c r="E142" s="121">
        <f t="shared" si="2"/>
        <v>23.880769230769232</v>
      </c>
      <c r="F142" s="122">
        <f>YEARFRAC(B142,F9)</f>
        <v>7.5166666666666666</v>
      </c>
      <c r="G142" s="123">
        <v>12</v>
      </c>
      <c r="H142" s="124">
        <v>39</v>
      </c>
      <c r="I142" s="125"/>
      <c r="J142" s="126">
        <v>3</v>
      </c>
      <c r="K142" s="126">
        <v>1</v>
      </c>
      <c r="L142" s="126">
        <v>1</v>
      </c>
      <c r="M142" s="127" t="s">
        <v>52</v>
      </c>
      <c r="N142" s="127" t="str">
        <f>VLOOKUP(M142,F386:G389,2,FALSE)</f>
        <v>Midwest</v>
      </c>
    </row>
    <row r="143" spans="1:15" s="115" customFormat="1" ht="15.75">
      <c r="A143" s="113">
        <v>1315</v>
      </c>
      <c r="B143" s="118">
        <v>39258</v>
      </c>
      <c r="C143" s="119" t="s">
        <v>12</v>
      </c>
      <c r="D143" s="120">
        <v>68913</v>
      </c>
      <c r="E143" s="121">
        <f t="shared" si="2"/>
        <v>33.131250000000001</v>
      </c>
      <c r="F143" s="122">
        <f>YEARFRAC(B143,F9)</f>
        <v>7.5166666666666666</v>
      </c>
      <c r="G143" s="123">
        <v>12</v>
      </c>
      <c r="H143" s="124">
        <v>34</v>
      </c>
      <c r="I143" s="125"/>
      <c r="J143" s="126">
        <v>4</v>
      </c>
      <c r="K143" s="126">
        <v>1</v>
      </c>
      <c r="L143" s="126">
        <v>1</v>
      </c>
      <c r="M143" s="127" t="s">
        <v>51</v>
      </c>
      <c r="N143" s="127" t="str">
        <f>VLOOKUP(M143,F386:G389,2,FALSE)</f>
        <v>Northeast</v>
      </c>
      <c r="O143" s="114"/>
    </row>
    <row r="144" spans="1:15" s="115" customFormat="1" ht="15.75">
      <c r="A144" s="113">
        <v>1317</v>
      </c>
      <c r="B144" s="118">
        <v>39284</v>
      </c>
      <c r="C144" s="119" t="s">
        <v>12</v>
      </c>
      <c r="D144" s="120">
        <v>68677</v>
      </c>
      <c r="E144" s="121">
        <f t="shared" si="2"/>
        <v>33.017788461538458</v>
      </c>
      <c r="F144" s="122">
        <f>YEARFRAC(B144,F9)</f>
        <v>7.4444444444444446</v>
      </c>
      <c r="G144" s="123">
        <v>12</v>
      </c>
      <c r="H144" s="124">
        <v>35</v>
      </c>
      <c r="I144" s="125"/>
      <c r="J144" s="126">
        <v>3</v>
      </c>
      <c r="K144" s="126">
        <v>1</v>
      </c>
      <c r="L144" s="126">
        <v>1</v>
      </c>
      <c r="M144" s="127" t="s">
        <v>51</v>
      </c>
      <c r="N144" s="127" t="str">
        <f>VLOOKUP(M144,F386:G389,2,FALSE)</f>
        <v>Northeast</v>
      </c>
      <c r="O144" s="114"/>
    </row>
    <row r="145" spans="1:15" ht="15.75">
      <c r="A145" s="62">
        <v>1320</v>
      </c>
      <c r="B145" s="118">
        <v>39299</v>
      </c>
      <c r="C145" s="119" t="s">
        <v>12</v>
      </c>
      <c r="D145" s="120">
        <v>26351</v>
      </c>
      <c r="E145" s="121">
        <f t="shared" si="2"/>
        <v>12.668749999999999</v>
      </c>
      <c r="F145" s="122">
        <f>YEARFRAC(B145,F9)</f>
        <v>7.4055555555555559</v>
      </c>
      <c r="G145" s="123">
        <v>14</v>
      </c>
      <c r="H145" s="124">
        <v>27</v>
      </c>
      <c r="I145" s="125"/>
      <c r="J145" s="126">
        <v>4</v>
      </c>
      <c r="K145" s="126">
        <v>1</v>
      </c>
      <c r="L145" s="126">
        <v>2</v>
      </c>
      <c r="M145" s="127" t="s">
        <v>52</v>
      </c>
      <c r="N145" s="127" t="str">
        <f>VLOOKUP(M145,F386:G389,2,FALSE)</f>
        <v>Midwest</v>
      </c>
    </row>
    <row r="146" spans="1:15" s="115" customFormat="1" ht="15.75">
      <c r="A146" s="113">
        <v>1320</v>
      </c>
      <c r="B146" s="118">
        <v>39302</v>
      </c>
      <c r="C146" s="119" t="s">
        <v>12</v>
      </c>
      <c r="D146" s="120">
        <v>31170</v>
      </c>
      <c r="E146" s="121">
        <f t="shared" si="2"/>
        <v>14.985576923076923</v>
      </c>
      <c r="F146" s="122">
        <f>YEARFRAC(B146,F9)</f>
        <v>7.3972222222222221</v>
      </c>
      <c r="G146" s="123">
        <v>12</v>
      </c>
      <c r="H146" s="124">
        <v>22</v>
      </c>
      <c r="I146" s="125"/>
      <c r="J146" s="126">
        <v>4</v>
      </c>
      <c r="K146" s="126">
        <v>2</v>
      </c>
      <c r="L146" s="126">
        <v>2</v>
      </c>
      <c r="M146" s="127" t="s">
        <v>51</v>
      </c>
      <c r="N146" s="127" t="str">
        <f>VLOOKUP(M146,F386:G389,2,FALSE)</f>
        <v>Northeast</v>
      </c>
      <c r="O146" s="114"/>
    </row>
    <row r="147" spans="1:15" ht="15.75">
      <c r="A147" s="62">
        <v>1320</v>
      </c>
      <c r="B147" s="118">
        <v>39307</v>
      </c>
      <c r="C147" s="119" t="s">
        <v>12</v>
      </c>
      <c r="D147" s="120">
        <v>67380</v>
      </c>
      <c r="E147" s="121">
        <f t="shared" si="2"/>
        <v>32.394230769230766</v>
      </c>
      <c r="F147" s="122">
        <f>YEARFRAC(B147,F9)</f>
        <v>7.3833333333333337</v>
      </c>
      <c r="G147" s="123">
        <v>12</v>
      </c>
      <c r="H147" s="124">
        <v>31</v>
      </c>
      <c r="I147" s="125"/>
      <c r="J147" s="126">
        <v>1</v>
      </c>
      <c r="K147" s="126">
        <v>1</v>
      </c>
      <c r="L147" s="126">
        <v>2</v>
      </c>
      <c r="M147" s="127" t="s">
        <v>48</v>
      </c>
      <c r="N147" s="127" t="str">
        <f>VLOOKUP(M147,F386:G389,2,FALSE)</f>
        <v>C-Plains</v>
      </c>
    </row>
    <row r="148" spans="1:15" ht="15.75">
      <c r="A148" s="62">
        <v>1323</v>
      </c>
      <c r="B148" s="118">
        <v>39307</v>
      </c>
      <c r="C148" s="119" t="s">
        <v>12</v>
      </c>
      <c r="D148" s="120">
        <v>52235</v>
      </c>
      <c r="E148" s="121">
        <f t="shared" si="2"/>
        <v>25.11298076923077</v>
      </c>
      <c r="F148" s="122">
        <f>YEARFRAC(B148,F9)</f>
        <v>7.3833333333333337</v>
      </c>
      <c r="G148" s="123">
        <v>12</v>
      </c>
      <c r="H148" s="124">
        <v>44</v>
      </c>
      <c r="I148" s="125"/>
      <c r="J148" s="126">
        <v>4</v>
      </c>
      <c r="K148" s="126">
        <v>1</v>
      </c>
      <c r="L148" s="126">
        <v>2</v>
      </c>
      <c r="M148" s="127" t="s">
        <v>52</v>
      </c>
      <c r="N148" s="127" t="str">
        <f>VLOOKUP(M148,F386:G389,2,FALSE)</f>
        <v>Midwest</v>
      </c>
    </row>
    <row r="149" spans="1:15" s="115" customFormat="1" ht="15.75">
      <c r="A149" s="113">
        <v>1325</v>
      </c>
      <c r="B149" s="118">
        <v>39326</v>
      </c>
      <c r="C149" s="119" t="s">
        <v>12</v>
      </c>
      <c r="D149" s="120">
        <v>83413</v>
      </c>
      <c r="E149" s="121">
        <f t="shared" si="2"/>
        <v>40.102403846153848</v>
      </c>
      <c r="F149" s="122">
        <f>YEARFRAC(B149,F9)</f>
        <v>7.333333333333333</v>
      </c>
      <c r="G149" s="123">
        <v>14</v>
      </c>
      <c r="H149" s="124">
        <v>57</v>
      </c>
      <c r="I149" s="125" t="str">
        <f>IF(F149&gt;=10,"Yes","No")</f>
        <v>No</v>
      </c>
      <c r="J149" s="126">
        <v>3</v>
      </c>
      <c r="K149" s="126">
        <v>1</v>
      </c>
      <c r="L149" s="126">
        <v>1</v>
      </c>
      <c r="M149" s="127" t="s">
        <v>51</v>
      </c>
      <c r="N149" s="127" t="str">
        <f>VLOOKUP(M149,F386:G389,2,FALSE)</f>
        <v>Northeast</v>
      </c>
      <c r="O149" s="114"/>
    </row>
    <row r="150" spans="1:15" s="115" customFormat="1" ht="15.75">
      <c r="A150" s="113">
        <v>1329</v>
      </c>
      <c r="B150" s="118">
        <v>39332</v>
      </c>
      <c r="C150" s="119" t="s">
        <v>12</v>
      </c>
      <c r="D150" s="120">
        <v>26020</v>
      </c>
      <c r="E150" s="121">
        <f t="shared" si="2"/>
        <v>12.509615384615385</v>
      </c>
      <c r="F150" s="122">
        <f>YEARFRAC(B150,F9)</f>
        <v>7.3166666666666664</v>
      </c>
      <c r="G150" s="123">
        <v>14</v>
      </c>
      <c r="H150" s="124">
        <v>25</v>
      </c>
      <c r="I150" s="125"/>
      <c r="J150" s="126">
        <v>1</v>
      </c>
      <c r="K150" s="126">
        <v>1</v>
      </c>
      <c r="L150" s="126">
        <v>1</v>
      </c>
      <c r="M150" s="127" t="s">
        <v>51</v>
      </c>
      <c r="N150" s="127" t="str">
        <f>VLOOKUP(M150,F386:G389,2,FALSE)</f>
        <v>Northeast</v>
      </c>
      <c r="O150" s="114"/>
    </row>
    <row r="151" spans="1:15" s="115" customFormat="1" ht="15.75">
      <c r="A151" s="113">
        <v>1332</v>
      </c>
      <c r="B151" s="118">
        <v>39343</v>
      </c>
      <c r="C151" s="119" t="s">
        <v>12</v>
      </c>
      <c r="D151" s="120">
        <v>36789</v>
      </c>
      <c r="E151" s="121">
        <f t="shared" si="2"/>
        <v>17.687019230769231</v>
      </c>
      <c r="F151" s="122">
        <f>YEARFRAC(B151,F9)</f>
        <v>7.2861111111111114</v>
      </c>
      <c r="G151" s="123">
        <v>12</v>
      </c>
      <c r="H151" s="124">
        <v>24</v>
      </c>
      <c r="I151" s="125"/>
      <c r="J151" s="126">
        <v>3</v>
      </c>
      <c r="K151" s="126">
        <v>1</v>
      </c>
      <c r="L151" s="126">
        <v>2</v>
      </c>
      <c r="M151" s="127" t="s">
        <v>51</v>
      </c>
      <c r="N151" s="127" t="str">
        <f>VLOOKUP(M151,F386:G389,2,FALSE)</f>
        <v>Northeast</v>
      </c>
      <c r="O151" s="114"/>
    </row>
    <row r="152" spans="1:15" ht="15.75">
      <c r="A152" s="62">
        <v>1339</v>
      </c>
      <c r="B152" s="118">
        <v>39348</v>
      </c>
      <c r="C152" s="119" t="s">
        <v>12</v>
      </c>
      <c r="D152" s="120">
        <v>31992</v>
      </c>
      <c r="E152" s="121">
        <f t="shared" si="2"/>
        <v>15.38076923076923</v>
      </c>
      <c r="F152" s="122">
        <f>YEARFRAC(B152,F9)</f>
        <v>7.2722222222222221</v>
      </c>
      <c r="G152" s="123">
        <v>12</v>
      </c>
      <c r="H152" s="124">
        <v>24</v>
      </c>
      <c r="I152" s="125"/>
      <c r="J152" s="126">
        <v>3</v>
      </c>
      <c r="K152" s="126">
        <v>1</v>
      </c>
      <c r="L152" s="126">
        <v>2</v>
      </c>
      <c r="M152" s="127" t="s">
        <v>48</v>
      </c>
      <c r="N152" s="127" t="str">
        <f>VLOOKUP(M152,F386:G389,2,FALSE)</f>
        <v>C-Plains</v>
      </c>
    </row>
    <row r="153" spans="1:15" s="115" customFormat="1" ht="15.75">
      <c r="A153" s="113">
        <v>1341</v>
      </c>
      <c r="B153" s="118">
        <v>39375</v>
      </c>
      <c r="C153" s="119" t="s">
        <v>12</v>
      </c>
      <c r="D153" s="120">
        <v>28325</v>
      </c>
      <c r="E153" s="121">
        <f t="shared" si="2"/>
        <v>13.617788461538462</v>
      </c>
      <c r="F153" s="122">
        <f>YEARFRAC(B153,F9)</f>
        <v>7.197222222222222</v>
      </c>
      <c r="G153" s="123">
        <v>14</v>
      </c>
      <c r="H153" s="124">
        <v>32</v>
      </c>
      <c r="I153" s="125" t="str">
        <f>IF(F153&gt;=10,"Yes","No")</f>
        <v>No</v>
      </c>
      <c r="J153" s="126">
        <v>3</v>
      </c>
      <c r="K153" s="126">
        <v>1</v>
      </c>
      <c r="L153" s="126">
        <v>1</v>
      </c>
      <c r="M153" s="127" t="s">
        <v>51</v>
      </c>
      <c r="N153" s="127" t="str">
        <f>VLOOKUP(M153,F386:G389,2,FALSE)</f>
        <v>Northeast</v>
      </c>
      <c r="O153" s="114"/>
    </row>
    <row r="154" spans="1:15" ht="15.75">
      <c r="A154" s="62">
        <v>1343</v>
      </c>
      <c r="B154" s="118">
        <v>39375</v>
      </c>
      <c r="C154" s="119" t="s">
        <v>12</v>
      </c>
      <c r="D154" s="120">
        <v>21897</v>
      </c>
      <c r="E154" s="121">
        <f t="shared" si="2"/>
        <v>10.527403846153845</v>
      </c>
      <c r="F154" s="122">
        <f>YEARFRAC(B154,F9)</f>
        <v>7.197222222222222</v>
      </c>
      <c r="G154" s="123">
        <v>12</v>
      </c>
      <c r="H154" s="124">
        <v>22</v>
      </c>
      <c r="I154" s="125"/>
      <c r="J154" s="126">
        <v>1</v>
      </c>
      <c r="K154" s="126">
        <v>1</v>
      </c>
      <c r="L154" s="126">
        <v>2</v>
      </c>
      <c r="M154" s="127" t="s">
        <v>52</v>
      </c>
      <c r="N154" s="127" t="str">
        <f>VLOOKUP(M154,F386:G389,2,FALSE)</f>
        <v>Midwest</v>
      </c>
    </row>
    <row r="155" spans="1:15" ht="15.75">
      <c r="A155" s="62">
        <v>1343</v>
      </c>
      <c r="B155" s="118">
        <v>39375</v>
      </c>
      <c r="C155" s="119" t="s">
        <v>12</v>
      </c>
      <c r="D155" s="120">
        <v>44860</v>
      </c>
      <c r="E155" s="121">
        <f t="shared" si="2"/>
        <v>21.567307692307693</v>
      </c>
      <c r="F155" s="122">
        <f>YEARFRAC(B155,F9)</f>
        <v>7.197222222222222</v>
      </c>
      <c r="G155" s="123">
        <v>12</v>
      </c>
      <c r="H155" s="124">
        <v>36</v>
      </c>
      <c r="I155" s="125"/>
      <c r="J155" s="126">
        <v>1</v>
      </c>
      <c r="K155" s="126">
        <v>1</v>
      </c>
      <c r="L155" s="126">
        <v>1</v>
      </c>
      <c r="M155" s="127" t="s">
        <v>52</v>
      </c>
      <c r="N155" s="127" t="str">
        <f>VLOOKUP(M155,F386:G389,2,FALSE)</f>
        <v>Midwest</v>
      </c>
    </row>
    <row r="156" spans="1:15" s="115" customFormat="1" ht="15.75">
      <c r="A156" s="113">
        <v>1346</v>
      </c>
      <c r="B156" s="139">
        <v>39389</v>
      </c>
      <c r="C156" s="119" t="s">
        <v>12</v>
      </c>
      <c r="D156" s="120">
        <v>67679</v>
      </c>
      <c r="E156" s="121">
        <f t="shared" si="2"/>
        <v>32.537980769230771</v>
      </c>
      <c r="F156" s="122">
        <f>YEARFRAC(B156,F9)</f>
        <v>7.1611111111111114</v>
      </c>
      <c r="G156" s="123">
        <v>12</v>
      </c>
      <c r="H156" s="124">
        <v>31</v>
      </c>
      <c r="I156" s="125"/>
      <c r="J156" s="126">
        <v>3</v>
      </c>
      <c r="K156" s="126">
        <v>1</v>
      </c>
      <c r="L156" s="126">
        <v>1</v>
      </c>
      <c r="M156" s="127" t="s">
        <v>51</v>
      </c>
      <c r="N156" s="127" t="str">
        <f>VLOOKUP(M156,F386:G389,2,FALSE)</f>
        <v>Northeast</v>
      </c>
      <c r="O156" s="114"/>
    </row>
    <row r="157" spans="1:15" ht="15.75">
      <c r="A157" s="62">
        <v>1350</v>
      </c>
      <c r="B157" s="139">
        <v>39396</v>
      </c>
      <c r="C157" s="119" t="s">
        <v>12</v>
      </c>
      <c r="D157" s="120">
        <v>21387</v>
      </c>
      <c r="E157" s="121">
        <f t="shared" si="2"/>
        <v>10.282211538461539</v>
      </c>
      <c r="F157" s="122">
        <f>YEARFRAC(B157,F9)</f>
        <v>7.1416666666666666</v>
      </c>
      <c r="G157" s="123">
        <v>12</v>
      </c>
      <c r="H157" s="124">
        <v>23</v>
      </c>
      <c r="I157" s="125"/>
      <c r="J157" s="126">
        <v>3</v>
      </c>
      <c r="K157" s="126">
        <v>2</v>
      </c>
      <c r="L157" s="126">
        <v>2</v>
      </c>
      <c r="M157" s="127" t="s">
        <v>48</v>
      </c>
      <c r="N157" s="127" t="str">
        <f>VLOOKUP(M157,F386:G389,2,FALSE)</f>
        <v>C-Plains</v>
      </c>
    </row>
    <row r="158" spans="1:15" ht="15.75">
      <c r="A158" s="62">
        <v>1356</v>
      </c>
      <c r="B158" s="139">
        <v>39398</v>
      </c>
      <c r="C158" s="119" t="s">
        <v>12</v>
      </c>
      <c r="D158" s="120">
        <v>84068</v>
      </c>
      <c r="E158" s="121">
        <f t="shared" si="2"/>
        <v>40.417307692307695</v>
      </c>
      <c r="F158" s="122">
        <f>YEARFRAC(B158,F9)</f>
        <v>7.1361111111111111</v>
      </c>
      <c r="G158" s="123">
        <v>16</v>
      </c>
      <c r="H158" s="124">
        <v>48</v>
      </c>
      <c r="I158" s="125"/>
      <c r="J158" s="126">
        <v>3</v>
      </c>
      <c r="K158" s="126">
        <v>2</v>
      </c>
      <c r="L158" s="126">
        <v>1</v>
      </c>
      <c r="M158" s="127" t="s">
        <v>48</v>
      </c>
      <c r="N158" s="127" t="str">
        <f>VLOOKUP(M158,F386:G389,2,FALSE)</f>
        <v>C-Plains</v>
      </c>
    </row>
    <row r="159" spans="1:15" s="115" customFormat="1" ht="15.75">
      <c r="A159" s="113">
        <v>1357</v>
      </c>
      <c r="B159" s="118">
        <v>39434</v>
      </c>
      <c r="C159" s="119" t="s">
        <v>12</v>
      </c>
      <c r="D159" s="120">
        <v>99741</v>
      </c>
      <c r="E159" s="121">
        <f t="shared" si="2"/>
        <v>47.95240384615385</v>
      </c>
      <c r="F159" s="122">
        <f>YEARFRAC(B159,F9)</f>
        <v>7.0361111111111114</v>
      </c>
      <c r="G159" s="123">
        <v>16</v>
      </c>
      <c r="H159" s="124">
        <v>52</v>
      </c>
      <c r="I159" s="125" t="str">
        <f>IF(F159&gt;=10,"Yes","No")</f>
        <v>No</v>
      </c>
      <c r="J159" s="126">
        <v>3</v>
      </c>
      <c r="K159" s="126">
        <v>1</v>
      </c>
      <c r="L159" s="126">
        <v>1</v>
      </c>
      <c r="M159" s="127" t="s">
        <v>51</v>
      </c>
      <c r="N159" s="127" t="str">
        <f>VLOOKUP(M159,F386:G389,2,FALSE)</f>
        <v>Northeast</v>
      </c>
      <c r="O159" s="114"/>
    </row>
    <row r="160" spans="1:15" s="115" customFormat="1" ht="15.75">
      <c r="A160" s="113">
        <v>1357</v>
      </c>
      <c r="B160" s="118">
        <v>39434</v>
      </c>
      <c r="C160" s="119" t="s">
        <v>12</v>
      </c>
      <c r="D160" s="120">
        <v>105779</v>
      </c>
      <c r="E160" s="121">
        <f t="shared" si="2"/>
        <v>50.855288461538464</v>
      </c>
      <c r="F160" s="122">
        <f>YEARFRAC(B160,F9)</f>
        <v>7.0361111111111114</v>
      </c>
      <c r="G160" s="123">
        <v>19</v>
      </c>
      <c r="H160" s="124">
        <v>39</v>
      </c>
      <c r="I160" s="125"/>
      <c r="J160" s="126">
        <v>3</v>
      </c>
      <c r="K160" s="126">
        <v>1</v>
      </c>
      <c r="L160" s="126">
        <v>2</v>
      </c>
      <c r="M160" s="127" t="s">
        <v>51</v>
      </c>
      <c r="N160" s="127" t="str">
        <f>VLOOKUP(M160,F386:G389,2,FALSE)</f>
        <v>Northeast</v>
      </c>
      <c r="O160" s="114"/>
    </row>
    <row r="161" spans="1:15" s="115" customFormat="1" ht="15.75">
      <c r="A161" s="113">
        <v>1364</v>
      </c>
      <c r="B161" s="118">
        <v>39444</v>
      </c>
      <c r="C161" s="119" t="s">
        <v>12</v>
      </c>
      <c r="D161" s="120">
        <v>44576</v>
      </c>
      <c r="E161" s="121">
        <f t="shared" si="2"/>
        <v>21.430769230769229</v>
      </c>
      <c r="F161" s="122">
        <f>YEARFRAC(B161,F9)</f>
        <v>7.0083333333333337</v>
      </c>
      <c r="G161" s="123">
        <v>12</v>
      </c>
      <c r="H161" s="124">
        <v>35</v>
      </c>
      <c r="I161" s="125"/>
      <c r="J161" s="126">
        <v>3</v>
      </c>
      <c r="K161" s="126">
        <v>1</v>
      </c>
      <c r="L161" s="126">
        <v>1</v>
      </c>
      <c r="M161" s="127" t="s">
        <v>51</v>
      </c>
      <c r="N161" s="127" t="str">
        <f>VLOOKUP(M161,F386:G389,2,FALSE)</f>
        <v>Northeast</v>
      </c>
      <c r="O161" s="114"/>
    </row>
    <row r="162" spans="1:15" s="129" customFormat="1" ht="15.75">
      <c r="A162" s="117">
        <v>1364</v>
      </c>
      <c r="B162" s="118">
        <v>39462</v>
      </c>
      <c r="C162" s="119" t="s">
        <v>12</v>
      </c>
      <c r="D162" s="120">
        <v>51431</v>
      </c>
      <c r="E162" s="121">
        <f t="shared" si="2"/>
        <v>24.726442307692309</v>
      </c>
      <c r="F162" s="122">
        <f>YEARFRAC(B162,F9)</f>
        <v>6.9611111111111112</v>
      </c>
      <c r="G162" s="123">
        <v>12</v>
      </c>
      <c r="H162" s="124">
        <v>44</v>
      </c>
      <c r="I162" s="125"/>
      <c r="J162" s="126">
        <v>1</v>
      </c>
      <c r="K162" s="126">
        <v>1</v>
      </c>
      <c r="L162" s="126">
        <v>2</v>
      </c>
      <c r="M162" s="127" t="s">
        <v>52</v>
      </c>
      <c r="N162" s="127" t="str">
        <f>VLOOKUP(M162,F386:G389,2,FALSE)</f>
        <v>Midwest</v>
      </c>
      <c r="O162" s="128"/>
    </row>
    <row r="163" spans="1:15" s="115" customFormat="1" ht="15.75">
      <c r="A163" s="113">
        <v>1373</v>
      </c>
      <c r="B163" s="139">
        <v>39469</v>
      </c>
      <c r="C163" s="119" t="s">
        <v>12</v>
      </c>
      <c r="D163" s="120">
        <v>38873</v>
      </c>
      <c r="E163" s="121">
        <f t="shared" si="2"/>
        <v>18.688942307692308</v>
      </c>
      <c r="F163" s="122">
        <f>YEARFRAC(B163,F9)</f>
        <v>6.9416666666666664</v>
      </c>
      <c r="G163" s="123">
        <v>12</v>
      </c>
      <c r="H163" s="124">
        <v>33</v>
      </c>
      <c r="I163" s="125"/>
      <c r="J163" s="126">
        <v>4</v>
      </c>
      <c r="K163" s="126">
        <v>1</v>
      </c>
      <c r="L163" s="126">
        <v>1</v>
      </c>
      <c r="M163" s="127" t="s">
        <v>51</v>
      </c>
      <c r="N163" s="127" t="str">
        <f>VLOOKUP(M163,F386:G389,2,FALSE)</f>
        <v>Northeast</v>
      </c>
      <c r="O163" s="114"/>
    </row>
    <row r="164" spans="1:15" s="115" customFormat="1" ht="15.75">
      <c r="A164" s="113">
        <v>1373</v>
      </c>
      <c r="B164" s="140">
        <v>39483</v>
      </c>
      <c r="C164" s="119" t="s">
        <v>12</v>
      </c>
      <c r="D164" s="120">
        <v>47648</v>
      </c>
      <c r="E164" s="121">
        <f t="shared" si="2"/>
        <v>22.907692307692308</v>
      </c>
      <c r="F164" s="122">
        <f>YEARFRAC(B164,F9)</f>
        <v>6.9055555555555559</v>
      </c>
      <c r="G164" s="123">
        <v>12</v>
      </c>
      <c r="H164" s="124">
        <v>38</v>
      </c>
      <c r="I164" s="125"/>
      <c r="J164" s="126">
        <v>3</v>
      </c>
      <c r="K164" s="126">
        <v>1</v>
      </c>
      <c r="L164" s="126">
        <v>1</v>
      </c>
      <c r="M164" s="127" t="s">
        <v>51</v>
      </c>
      <c r="N164" s="127" t="str">
        <f>VLOOKUP(M164,F386:G389,2,FALSE)</f>
        <v>Northeast</v>
      </c>
      <c r="O164" s="114"/>
    </row>
    <row r="165" spans="1:15" s="115" customFormat="1" ht="15.75">
      <c r="A165" s="113">
        <v>1378</v>
      </c>
      <c r="B165" s="118">
        <v>39485</v>
      </c>
      <c r="C165" s="119" t="s">
        <v>12</v>
      </c>
      <c r="D165" s="120">
        <v>33968</v>
      </c>
      <c r="E165" s="121">
        <f t="shared" si="2"/>
        <v>16.330769230769231</v>
      </c>
      <c r="F165" s="122">
        <f>YEARFRAC(B165,F9)</f>
        <v>6.9</v>
      </c>
      <c r="G165" s="123">
        <v>12</v>
      </c>
      <c r="H165" s="124">
        <v>28</v>
      </c>
      <c r="I165" s="125"/>
      <c r="J165" s="126">
        <v>3</v>
      </c>
      <c r="K165" s="126">
        <v>1</v>
      </c>
      <c r="L165" s="126">
        <v>1</v>
      </c>
      <c r="M165" s="127" t="s">
        <v>51</v>
      </c>
      <c r="N165" s="127" t="str">
        <f>VLOOKUP(M165,F386:G389,2,FALSE)</f>
        <v>Northeast</v>
      </c>
      <c r="O165" s="114"/>
    </row>
    <row r="166" spans="1:15" ht="15.75">
      <c r="A166" s="62">
        <v>1379</v>
      </c>
      <c r="B166" s="139">
        <v>39523</v>
      </c>
      <c r="C166" s="119" t="s">
        <v>12</v>
      </c>
      <c r="D166" s="120">
        <v>81191</v>
      </c>
      <c r="E166" s="121">
        <f t="shared" si="2"/>
        <v>39.034134615384616</v>
      </c>
      <c r="F166" s="122">
        <f>YEARFRAC(B166,F9)</f>
        <v>6.791666666666667</v>
      </c>
      <c r="G166" s="123">
        <v>16</v>
      </c>
      <c r="H166" s="124">
        <v>36</v>
      </c>
      <c r="I166" s="125"/>
      <c r="J166" s="126">
        <v>1</v>
      </c>
      <c r="K166" s="126">
        <v>1</v>
      </c>
      <c r="L166" s="126">
        <v>1</v>
      </c>
      <c r="M166" s="127" t="s">
        <v>48</v>
      </c>
      <c r="N166" s="127" t="str">
        <f>VLOOKUP(M166,F386:G389,2,FALSE)</f>
        <v>C-Plains</v>
      </c>
    </row>
    <row r="167" spans="1:15" ht="15.75">
      <c r="A167" s="62">
        <v>1381</v>
      </c>
      <c r="B167" s="140">
        <v>39550</v>
      </c>
      <c r="C167" s="119" t="s">
        <v>12</v>
      </c>
      <c r="D167" s="120">
        <v>72181</v>
      </c>
      <c r="E167" s="121">
        <f t="shared" si="2"/>
        <v>34.70240384615385</v>
      </c>
      <c r="F167" s="122">
        <f>YEARFRAC(B167,F9)</f>
        <v>6.7194444444444441</v>
      </c>
      <c r="G167" s="123">
        <v>16</v>
      </c>
      <c r="H167" s="124">
        <v>52</v>
      </c>
      <c r="I167" s="125"/>
      <c r="J167" s="126">
        <v>3</v>
      </c>
      <c r="K167" s="126">
        <v>1</v>
      </c>
      <c r="L167" s="126">
        <v>1</v>
      </c>
      <c r="M167" s="127" t="s">
        <v>52</v>
      </c>
      <c r="N167" s="127" t="str">
        <f>VLOOKUP(M167,F386:G389,2,FALSE)</f>
        <v>Midwest</v>
      </c>
    </row>
    <row r="168" spans="1:15" ht="15.75">
      <c r="A168" s="62">
        <v>1387</v>
      </c>
      <c r="B168" s="118">
        <v>39572</v>
      </c>
      <c r="C168" s="119" t="s">
        <v>12</v>
      </c>
      <c r="D168" s="120">
        <v>26163</v>
      </c>
      <c r="E168" s="121">
        <f t="shared" si="2"/>
        <v>12.578365384615385</v>
      </c>
      <c r="F168" s="122">
        <f>YEARFRAC(B168,F9)</f>
        <v>6.6583333333333332</v>
      </c>
      <c r="G168" s="123">
        <v>12</v>
      </c>
      <c r="H168" s="124">
        <v>26</v>
      </c>
      <c r="I168" s="125"/>
      <c r="J168" s="126">
        <v>1</v>
      </c>
      <c r="K168" s="126">
        <v>1</v>
      </c>
      <c r="L168" s="126">
        <v>2</v>
      </c>
      <c r="M168" s="127" t="s">
        <v>48</v>
      </c>
      <c r="N168" s="127" t="str">
        <f>VLOOKUP(M168,F386:G389,2,FALSE)</f>
        <v>C-Plains</v>
      </c>
    </row>
    <row r="169" spans="1:15" ht="15.75">
      <c r="A169" s="62">
        <v>1387</v>
      </c>
      <c r="B169" s="139">
        <v>39599</v>
      </c>
      <c r="C169" s="119" t="s">
        <v>12</v>
      </c>
      <c r="D169" s="120">
        <v>45130</v>
      </c>
      <c r="E169" s="121">
        <f t="shared" si="2"/>
        <v>21.697115384615383</v>
      </c>
      <c r="F169" s="122">
        <f>YEARFRAC(B169,F9)</f>
        <v>6.583333333333333</v>
      </c>
      <c r="G169" s="123">
        <v>12</v>
      </c>
      <c r="H169" s="124">
        <v>36</v>
      </c>
      <c r="I169" s="125"/>
      <c r="J169" s="126">
        <v>1</v>
      </c>
      <c r="K169" s="126">
        <v>1</v>
      </c>
      <c r="L169" s="126">
        <v>2</v>
      </c>
      <c r="M169" s="127" t="s">
        <v>52</v>
      </c>
      <c r="N169" s="127" t="str">
        <f>VLOOKUP(M169,F386:G389,2,FALSE)</f>
        <v>Midwest</v>
      </c>
    </row>
    <row r="170" spans="1:15" ht="15.75">
      <c r="A170" s="62">
        <v>1387</v>
      </c>
      <c r="B170" s="139">
        <v>39641</v>
      </c>
      <c r="C170" s="119" t="s">
        <v>12</v>
      </c>
      <c r="D170" s="120">
        <v>50914</v>
      </c>
      <c r="E170" s="121">
        <f t="shared" si="2"/>
        <v>24.477884615384614</v>
      </c>
      <c r="F170" s="122">
        <f>YEARFRAC(B170,F9)</f>
        <v>6.4694444444444441</v>
      </c>
      <c r="G170" s="123">
        <v>12</v>
      </c>
      <c r="H170" s="124">
        <v>43</v>
      </c>
      <c r="I170" s="125"/>
      <c r="J170" s="126">
        <v>3</v>
      </c>
      <c r="K170" s="126">
        <v>1</v>
      </c>
      <c r="L170" s="126">
        <v>1</v>
      </c>
      <c r="M170" s="127" t="s">
        <v>52</v>
      </c>
      <c r="N170" s="127" t="str">
        <f>VLOOKUP(M170,F386:G389,2,FALSE)</f>
        <v>Midwest</v>
      </c>
    </row>
    <row r="171" spans="1:15" ht="15.75">
      <c r="A171" s="62">
        <v>1391</v>
      </c>
      <c r="B171" s="118">
        <v>39661</v>
      </c>
      <c r="C171" s="119" t="s">
        <v>12</v>
      </c>
      <c r="D171" s="120">
        <v>37084</v>
      </c>
      <c r="E171" s="121">
        <f t="shared" si="2"/>
        <v>17.828846153846154</v>
      </c>
      <c r="F171" s="122">
        <f>YEARFRAC(B171,F9)</f>
        <v>6.416666666666667</v>
      </c>
      <c r="G171" s="123">
        <v>12</v>
      </c>
      <c r="H171" s="124">
        <v>32</v>
      </c>
      <c r="I171" s="125"/>
      <c r="J171" s="126">
        <v>3</v>
      </c>
      <c r="K171" s="126">
        <v>1</v>
      </c>
      <c r="L171" s="126">
        <v>2</v>
      </c>
      <c r="M171" s="127" t="s">
        <v>48</v>
      </c>
      <c r="N171" s="127" t="str">
        <f>VLOOKUP(M171,F386:G389,2,FALSE)</f>
        <v>C-Plains</v>
      </c>
    </row>
    <row r="172" spans="1:15" ht="15.75">
      <c r="A172" s="62">
        <v>1393</v>
      </c>
      <c r="B172" s="118">
        <v>39672</v>
      </c>
      <c r="C172" s="119" t="s">
        <v>12</v>
      </c>
      <c r="D172" s="120">
        <v>57643</v>
      </c>
      <c r="E172" s="121">
        <f t="shared" si="2"/>
        <v>27.712980769230768</v>
      </c>
      <c r="F172" s="122">
        <f>YEARFRAC(B172,F9)</f>
        <v>6.3861111111111111</v>
      </c>
      <c r="G172" s="123">
        <v>12</v>
      </c>
      <c r="H172" s="124">
        <v>51</v>
      </c>
      <c r="I172" s="125" t="str">
        <f>IF(F172&gt;=10,"Yes","No")</f>
        <v>No</v>
      </c>
      <c r="J172" s="126">
        <v>3</v>
      </c>
      <c r="K172" s="126">
        <v>1</v>
      </c>
      <c r="L172" s="126">
        <v>1</v>
      </c>
      <c r="M172" s="127" t="s">
        <v>48</v>
      </c>
      <c r="N172" s="127" t="str">
        <f>VLOOKUP(M172,F386:G389,2,FALSE)</f>
        <v>C-Plains</v>
      </c>
    </row>
    <row r="173" spans="1:15" ht="15.75">
      <c r="A173" s="62">
        <v>1394</v>
      </c>
      <c r="B173" s="118">
        <v>39675</v>
      </c>
      <c r="C173" s="119" t="s">
        <v>12</v>
      </c>
      <c r="D173" s="120">
        <v>58640</v>
      </c>
      <c r="E173" s="121">
        <f t="shared" si="2"/>
        <v>28.192307692307693</v>
      </c>
      <c r="F173" s="122">
        <f>YEARFRAC(B173,F9)</f>
        <v>6.3777777777777782</v>
      </c>
      <c r="G173" s="123">
        <v>16</v>
      </c>
      <c r="H173" s="124">
        <v>51</v>
      </c>
      <c r="I173" s="125" t="str">
        <f>IF(F173&gt;=10,"Yes","No")</f>
        <v>No</v>
      </c>
      <c r="J173" s="126">
        <v>1</v>
      </c>
      <c r="K173" s="126">
        <v>1</v>
      </c>
      <c r="L173" s="126">
        <v>1</v>
      </c>
      <c r="M173" s="127" t="s">
        <v>52</v>
      </c>
      <c r="N173" s="127" t="str">
        <f>VLOOKUP(M173,F386:G389,2,FALSE)</f>
        <v>Midwest</v>
      </c>
    </row>
    <row r="174" spans="1:15" ht="15.75">
      <c r="A174" s="62">
        <v>1400</v>
      </c>
      <c r="B174" s="118">
        <v>39699</v>
      </c>
      <c r="C174" s="119" t="s">
        <v>12</v>
      </c>
      <c r="D174" s="120">
        <v>80483</v>
      </c>
      <c r="E174" s="121">
        <f t="shared" si="2"/>
        <v>38.693750000000001</v>
      </c>
      <c r="F174" s="122">
        <f>YEARFRAC(B174,F9)</f>
        <v>6.3138888888888891</v>
      </c>
      <c r="G174" s="123">
        <v>16</v>
      </c>
      <c r="H174" s="124">
        <v>46</v>
      </c>
      <c r="I174" s="125"/>
      <c r="J174" s="126">
        <v>3</v>
      </c>
      <c r="K174" s="126">
        <v>1</v>
      </c>
      <c r="L174" s="126">
        <v>2</v>
      </c>
      <c r="M174" s="127" t="s">
        <v>48</v>
      </c>
      <c r="N174" s="127" t="str">
        <f>VLOOKUP(M174,F386:G389,2,FALSE)</f>
        <v>C-Plains</v>
      </c>
    </row>
    <row r="175" spans="1:15" ht="15.75">
      <c r="A175" s="62">
        <v>1402</v>
      </c>
      <c r="B175" s="118">
        <v>39703</v>
      </c>
      <c r="C175" s="119" t="s">
        <v>12</v>
      </c>
      <c r="D175" s="120">
        <v>32812</v>
      </c>
      <c r="E175" s="121">
        <f t="shared" si="2"/>
        <v>15.775</v>
      </c>
      <c r="F175" s="122">
        <f>YEARFRAC(B175,F9)</f>
        <v>6.302777777777778</v>
      </c>
      <c r="G175" s="123">
        <v>12</v>
      </c>
      <c r="H175" s="124">
        <v>26</v>
      </c>
      <c r="I175" s="125"/>
      <c r="J175" s="126">
        <v>4</v>
      </c>
      <c r="K175" s="126">
        <v>1</v>
      </c>
      <c r="L175" s="126">
        <v>1</v>
      </c>
      <c r="M175" s="127" t="s">
        <v>52</v>
      </c>
      <c r="N175" s="127" t="str">
        <f>VLOOKUP(M175,F386:G389,2,FALSE)</f>
        <v>Midwest</v>
      </c>
    </row>
    <row r="176" spans="1:15" ht="15.75">
      <c r="A176" s="62">
        <v>1403</v>
      </c>
      <c r="B176" s="118">
        <v>39714</v>
      </c>
      <c r="C176" s="119" t="s">
        <v>12</v>
      </c>
      <c r="D176" s="120">
        <v>71265</v>
      </c>
      <c r="E176" s="121">
        <f t="shared" si="2"/>
        <v>34.262019230769234</v>
      </c>
      <c r="F176" s="122">
        <f>YEARFRAC(B176,F9)</f>
        <v>6.2722222222222221</v>
      </c>
      <c r="G176" s="123">
        <v>16</v>
      </c>
      <c r="H176" s="124">
        <v>42</v>
      </c>
      <c r="I176" s="125"/>
      <c r="J176" s="126">
        <v>3</v>
      </c>
      <c r="K176" s="126">
        <v>2</v>
      </c>
      <c r="L176" s="126">
        <v>1</v>
      </c>
      <c r="M176" s="127" t="s">
        <v>52</v>
      </c>
      <c r="N176" s="127" t="str">
        <f>VLOOKUP(M176,F386:G389,2,FALSE)</f>
        <v>Midwest</v>
      </c>
    </row>
    <row r="177" spans="1:15" s="115" customFormat="1" ht="15.75">
      <c r="A177" s="113">
        <v>1404</v>
      </c>
      <c r="B177" s="118">
        <v>39714</v>
      </c>
      <c r="C177" s="119" t="s">
        <v>12</v>
      </c>
      <c r="D177" s="120">
        <v>18097</v>
      </c>
      <c r="E177" s="121">
        <f t="shared" si="2"/>
        <v>8.7004807692307686</v>
      </c>
      <c r="F177" s="122">
        <f>YEARFRAC(B177,F9)</f>
        <v>6.2722222222222221</v>
      </c>
      <c r="G177" s="123">
        <v>14</v>
      </c>
      <c r="H177" s="124">
        <v>19</v>
      </c>
      <c r="I177" s="125"/>
      <c r="J177" s="126">
        <v>3</v>
      </c>
      <c r="K177" s="126">
        <v>1</v>
      </c>
      <c r="L177" s="126">
        <v>2</v>
      </c>
      <c r="M177" s="127" t="s">
        <v>51</v>
      </c>
      <c r="N177" s="127" t="str">
        <f>VLOOKUP(M177,F386:G389,2,FALSE)</f>
        <v>Northeast</v>
      </c>
      <c r="O177" s="114"/>
    </row>
    <row r="178" spans="1:15" ht="15.75">
      <c r="A178" s="62">
        <v>1405</v>
      </c>
      <c r="B178" s="118">
        <v>39746</v>
      </c>
      <c r="C178" s="119" t="s">
        <v>12</v>
      </c>
      <c r="D178" s="120">
        <v>28537</v>
      </c>
      <c r="E178" s="121">
        <f t="shared" si="2"/>
        <v>13.719711538461539</v>
      </c>
      <c r="F178" s="122">
        <f>YEARFRAC(B178,F9)</f>
        <v>6.1833333333333336</v>
      </c>
      <c r="G178" s="123">
        <v>14</v>
      </c>
      <c r="H178" s="124">
        <v>34</v>
      </c>
      <c r="I178" s="125"/>
      <c r="J178" s="126">
        <v>3</v>
      </c>
      <c r="K178" s="126">
        <v>1</v>
      </c>
      <c r="L178" s="126">
        <v>1</v>
      </c>
      <c r="M178" s="127" t="s">
        <v>52</v>
      </c>
      <c r="N178" s="127" t="str">
        <f>VLOOKUP(M178,F386:G389,2,FALSE)</f>
        <v>Midwest</v>
      </c>
    </row>
    <row r="179" spans="1:15" ht="15.75">
      <c r="A179" s="62">
        <v>1411</v>
      </c>
      <c r="B179" s="118">
        <v>39766</v>
      </c>
      <c r="C179" s="119" t="s">
        <v>12</v>
      </c>
      <c r="D179" s="120">
        <v>61333</v>
      </c>
      <c r="E179" s="121">
        <f t="shared" si="2"/>
        <v>29.487019230769231</v>
      </c>
      <c r="F179" s="122">
        <f>YEARFRAC(B179,F9)</f>
        <v>6.1305555555555555</v>
      </c>
      <c r="G179" s="123">
        <v>16</v>
      </c>
      <c r="H179" s="124">
        <v>30</v>
      </c>
      <c r="I179" s="125"/>
      <c r="J179" s="126">
        <v>3</v>
      </c>
      <c r="K179" s="126">
        <v>1</v>
      </c>
      <c r="L179" s="126">
        <v>2</v>
      </c>
      <c r="M179" s="127" t="s">
        <v>48</v>
      </c>
      <c r="N179" s="127" t="str">
        <f>VLOOKUP(M179,F386:G389,2,FALSE)</f>
        <v>C-Plains</v>
      </c>
    </row>
    <row r="180" spans="1:15" s="115" customFormat="1" ht="15.75">
      <c r="A180" s="113">
        <v>1417</v>
      </c>
      <c r="B180" s="118">
        <v>39812</v>
      </c>
      <c r="C180" s="119" t="s">
        <v>12</v>
      </c>
      <c r="D180" s="120">
        <v>69102</v>
      </c>
      <c r="E180" s="121">
        <f t="shared" si="2"/>
        <v>33.222115384615385</v>
      </c>
      <c r="F180" s="122">
        <f>YEARFRAC(B180,F9)</f>
        <v>6</v>
      </c>
      <c r="G180" s="123">
        <v>12</v>
      </c>
      <c r="H180" s="124">
        <v>34</v>
      </c>
      <c r="I180" s="125"/>
      <c r="J180" s="126">
        <v>4</v>
      </c>
      <c r="K180" s="126">
        <v>1</v>
      </c>
      <c r="L180" s="126">
        <v>1</v>
      </c>
      <c r="M180" s="127" t="s">
        <v>51</v>
      </c>
      <c r="N180" s="127" t="str">
        <f>VLOOKUP(M180,F386:G389,2,FALSE)</f>
        <v>Northeast</v>
      </c>
      <c r="O180" s="114"/>
    </row>
    <row r="181" spans="1:15" ht="15.75">
      <c r="A181" s="62">
        <v>1418</v>
      </c>
      <c r="B181" s="118">
        <v>39835</v>
      </c>
      <c r="C181" s="119" t="s">
        <v>12</v>
      </c>
      <c r="D181" s="120">
        <v>53981</v>
      </c>
      <c r="E181" s="121">
        <f t="shared" si="2"/>
        <v>25.952403846153846</v>
      </c>
      <c r="F181" s="122">
        <f>YEARFRAC(B181,F9)</f>
        <v>5.9416666666666664</v>
      </c>
      <c r="G181" s="123">
        <v>16</v>
      </c>
      <c r="H181" s="124">
        <v>36</v>
      </c>
      <c r="I181" s="125"/>
      <c r="J181" s="126">
        <v>3</v>
      </c>
      <c r="K181" s="126">
        <v>1</v>
      </c>
      <c r="L181" s="126">
        <v>1</v>
      </c>
      <c r="M181" s="127" t="s">
        <v>52</v>
      </c>
      <c r="N181" s="127" t="str">
        <f>VLOOKUP(M181,F386:G389,2,FALSE)</f>
        <v>Midwest</v>
      </c>
    </row>
    <row r="182" spans="1:15" ht="15.75">
      <c r="A182" s="62">
        <v>1422</v>
      </c>
      <c r="B182" s="118">
        <v>39835</v>
      </c>
      <c r="C182" s="119" t="s">
        <v>12</v>
      </c>
      <c r="D182" s="120">
        <v>36918</v>
      </c>
      <c r="E182" s="121">
        <f t="shared" si="2"/>
        <v>17.749038461538461</v>
      </c>
      <c r="F182" s="122">
        <f>YEARFRAC(B182,F9)</f>
        <v>5.9416666666666664</v>
      </c>
      <c r="G182" s="123">
        <v>12</v>
      </c>
      <c r="H182" s="124">
        <v>32</v>
      </c>
      <c r="I182" s="125"/>
      <c r="J182" s="126">
        <v>1</v>
      </c>
      <c r="K182" s="126">
        <v>1</v>
      </c>
      <c r="L182" s="126">
        <v>1</v>
      </c>
      <c r="M182" s="127" t="s">
        <v>52</v>
      </c>
      <c r="N182" s="127" t="str">
        <f>VLOOKUP(M182,F386:G389,2,FALSE)</f>
        <v>Midwest</v>
      </c>
    </row>
    <row r="183" spans="1:15" ht="15.75">
      <c r="A183" s="62">
        <v>1422</v>
      </c>
      <c r="B183" s="118">
        <v>39846</v>
      </c>
      <c r="C183" s="119" t="s">
        <v>12</v>
      </c>
      <c r="D183" s="120">
        <v>52485</v>
      </c>
      <c r="E183" s="121">
        <f t="shared" si="2"/>
        <v>25.233173076923077</v>
      </c>
      <c r="F183" s="122">
        <f>YEARFRAC(B183,F9)</f>
        <v>5.9138888888888888</v>
      </c>
      <c r="G183" s="123">
        <v>16</v>
      </c>
      <c r="H183" s="124">
        <v>25</v>
      </c>
      <c r="I183" s="125"/>
      <c r="J183" s="126">
        <v>3</v>
      </c>
      <c r="K183" s="126">
        <v>1</v>
      </c>
      <c r="L183" s="126">
        <v>1</v>
      </c>
      <c r="M183" s="127" t="s">
        <v>48</v>
      </c>
      <c r="N183" s="127" t="str">
        <f>VLOOKUP(M183,F386:G389,2,FALSE)</f>
        <v>C-Plains</v>
      </c>
    </row>
    <row r="184" spans="1:15" s="115" customFormat="1" ht="15.75">
      <c r="A184" s="113">
        <v>1424</v>
      </c>
      <c r="B184" s="118">
        <v>39846</v>
      </c>
      <c r="C184" s="119" t="s">
        <v>12</v>
      </c>
      <c r="D184" s="120">
        <v>75737</v>
      </c>
      <c r="E184" s="121">
        <f t="shared" si="2"/>
        <v>36.412019230769232</v>
      </c>
      <c r="F184" s="122">
        <f>YEARFRAC(B184,F9)</f>
        <v>5.9138888888888888</v>
      </c>
      <c r="G184" s="123">
        <v>14</v>
      </c>
      <c r="H184" s="124">
        <v>45</v>
      </c>
      <c r="I184" s="125" t="str">
        <f>IF(F184&gt;=10,"Yes","No")</f>
        <v>No</v>
      </c>
      <c r="J184" s="126">
        <v>3</v>
      </c>
      <c r="K184" s="126">
        <v>2</v>
      </c>
      <c r="L184" s="126">
        <v>1</v>
      </c>
      <c r="M184" s="127" t="s">
        <v>51</v>
      </c>
      <c r="N184" s="127" t="str">
        <f>VLOOKUP(M184,F386:G389,2,FALSE)</f>
        <v>Northeast</v>
      </c>
      <c r="O184" s="114"/>
    </row>
    <row r="185" spans="1:15" ht="15.75">
      <c r="A185" s="62">
        <v>1424</v>
      </c>
      <c r="B185" s="118">
        <v>39848</v>
      </c>
      <c r="C185" s="119" t="s">
        <v>12</v>
      </c>
      <c r="D185" s="120">
        <v>34512</v>
      </c>
      <c r="E185" s="121">
        <f t="shared" si="2"/>
        <v>16.592307692307692</v>
      </c>
      <c r="F185" s="122">
        <f>YEARFRAC(B185,F9)</f>
        <v>5.9083333333333332</v>
      </c>
      <c r="G185" s="123">
        <v>12</v>
      </c>
      <c r="H185" s="124">
        <v>29</v>
      </c>
      <c r="I185" s="125"/>
      <c r="J185" s="126">
        <v>3</v>
      </c>
      <c r="K185" s="126">
        <v>1</v>
      </c>
      <c r="L185" s="126">
        <v>2</v>
      </c>
      <c r="M185" s="127" t="s">
        <v>48</v>
      </c>
      <c r="N185" s="127" t="str">
        <f>VLOOKUP(M185,F386:G389,2,FALSE)</f>
        <v>C-Plains</v>
      </c>
    </row>
    <row r="186" spans="1:15" s="115" customFormat="1" ht="15.75">
      <c r="A186" s="113">
        <v>1424</v>
      </c>
      <c r="B186" s="118">
        <v>39856</v>
      </c>
      <c r="C186" s="119" t="s">
        <v>12</v>
      </c>
      <c r="D186" s="120">
        <v>55460</v>
      </c>
      <c r="E186" s="121">
        <f t="shared" si="2"/>
        <v>26.66346153846154</v>
      </c>
      <c r="F186" s="122">
        <f>YEARFRAC(B186,F9)</f>
        <v>5.8861111111111111</v>
      </c>
      <c r="G186" s="123">
        <v>16</v>
      </c>
      <c r="H186" s="124">
        <v>32</v>
      </c>
      <c r="I186" s="125"/>
      <c r="J186" s="126">
        <v>1</v>
      </c>
      <c r="K186" s="126">
        <v>2</v>
      </c>
      <c r="L186" s="126">
        <v>2</v>
      </c>
      <c r="M186" s="127" t="s">
        <v>51</v>
      </c>
      <c r="N186" s="127" t="str">
        <f>VLOOKUP(M186,F386:G389,2,FALSE)</f>
        <v>Northeast</v>
      </c>
      <c r="O186" s="114"/>
    </row>
    <row r="187" spans="1:15" s="115" customFormat="1" ht="15.75">
      <c r="A187" s="113">
        <v>1424</v>
      </c>
      <c r="B187" s="118">
        <v>39860</v>
      </c>
      <c r="C187" s="119" t="s">
        <v>12</v>
      </c>
      <c r="D187" s="120">
        <v>84505</v>
      </c>
      <c r="E187" s="121">
        <f t="shared" si="2"/>
        <v>40.627403846153847</v>
      </c>
      <c r="F187" s="122">
        <f>YEARFRAC(B187,F9)</f>
        <v>5.875</v>
      </c>
      <c r="G187" s="123">
        <v>14</v>
      </c>
      <c r="H187" s="124">
        <v>59</v>
      </c>
      <c r="I187" s="125" t="str">
        <f>IF(F187&gt;=10,"Yes","No")</f>
        <v>No</v>
      </c>
      <c r="J187" s="126">
        <v>3</v>
      </c>
      <c r="K187" s="126">
        <v>1</v>
      </c>
      <c r="L187" s="126">
        <v>1</v>
      </c>
      <c r="M187" s="127" t="s">
        <v>51</v>
      </c>
      <c r="N187" s="127" t="str">
        <f>VLOOKUP(M187,F386:G389,2,FALSE)</f>
        <v>Northeast</v>
      </c>
      <c r="O187" s="114"/>
    </row>
    <row r="188" spans="1:15" ht="15.75">
      <c r="A188" s="62">
        <v>1426</v>
      </c>
      <c r="B188" s="118">
        <v>39876</v>
      </c>
      <c r="C188" s="119" t="s">
        <v>12</v>
      </c>
      <c r="D188" s="120">
        <v>45934</v>
      </c>
      <c r="E188" s="121">
        <f t="shared" si="2"/>
        <v>22.083653846153847</v>
      </c>
      <c r="F188" s="122">
        <f>YEARFRAC(B188,F9)</f>
        <v>5.8250000000000002</v>
      </c>
      <c r="G188" s="123">
        <v>12</v>
      </c>
      <c r="H188" s="124">
        <v>37</v>
      </c>
      <c r="I188" s="125"/>
      <c r="J188" s="126">
        <v>3</v>
      </c>
      <c r="K188" s="126">
        <v>1</v>
      </c>
      <c r="L188" s="126">
        <v>1</v>
      </c>
      <c r="M188" s="127" t="s">
        <v>52</v>
      </c>
      <c r="N188" s="127" t="str">
        <f>VLOOKUP(M188,F386:G389,2,FALSE)</f>
        <v>Midwest</v>
      </c>
    </row>
    <row r="189" spans="1:15" ht="15.75">
      <c r="A189" s="62">
        <v>1429</v>
      </c>
      <c r="B189" s="118">
        <v>39877</v>
      </c>
      <c r="C189" s="119" t="s">
        <v>12</v>
      </c>
      <c r="D189" s="120">
        <v>67692</v>
      </c>
      <c r="E189" s="121">
        <f t="shared" si="2"/>
        <v>32.544230769230772</v>
      </c>
      <c r="F189" s="122">
        <f>YEARFRAC(B189,F9)</f>
        <v>5.822222222222222</v>
      </c>
      <c r="G189" s="123">
        <v>12</v>
      </c>
      <c r="H189" s="124">
        <v>32</v>
      </c>
      <c r="I189" s="125"/>
      <c r="J189" s="126">
        <v>1</v>
      </c>
      <c r="K189" s="126">
        <v>1</v>
      </c>
      <c r="L189" s="126">
        <v>1</v>
      </c>
      <c r="M189" s="127" t="s">
        <v>52</v>
      </c>
      <c r="N189" s="127" t="str">
        <f>VLOOKUP(M189,F386:G389,2,FALSE)</f>
        <v>Midwest</v>
      </c>
    </row>
    <row r="190" spans="1:15" s="115" customFormat="1" ht="15.75">
      <c r="A190" s="113">
        <v>1432</v>
      </c>
      <c r="B190" s="118">
        <v>39886</v>
      </c>
      <c r="C190" s="119" t="s">
        <v>12</v>
      </c>
      <c r="D190" s="120">
        <v>71204</v>
      </c>
      <c r="E190" s="121">
        <f t="shared" si="2"/>
        <v>34.232692307692311</v>
      </c>
      <c r="F190" s="122">
        <f>YEARFRAC(B190,F9)</f>
        <v>5.7972222222222225</v>
      </c>
      <c r="G190" s="123">
        <v>16</v>
      </c>
      <c r="H190" s="124">
        <v>38</v>
      </c>
      <c r="I190" s="125"/>
      <c r="J190" s="126">
        <v>3</v>
      </c>
      <c r="K190" s="126">
        <v>1</v>
      </c>
      <c r="L190" s="126">
        <v>1</v>
      </c>
      <c r="M190" s="127" t="s">
        <v>51</v>
      </c>
      <c r="N190" s="127" t="str">
        <f>VLOOKUP(M190,F386:G389,2,FALSE)</f>
        <v>Northeast</v>
      </c>
      <c r="O190" s="114"/>
    </row>
    <row r="191" spans="1:15" ht="15.75">
      <c r="A191" s="62">
        <v>1434</v>
      </c>
      <c r="B191" s="118">
        <v>39891</v>
      </c>
      <c r="C191" s="119" t="s">
        <v>12</v>
      </c>
      <c r="D191" s="120">
        <v>49797</v>
      </c>
      <c r="E191" s="121">
        <f t="shared" si="2"/>
        <v>23.940865384615385</v>
      </c>
      <c r="F191" s="122">
        <f>YEARFRAC(B191,F9)</f>
        <v>5.7833333333333332</v>
      </c>
      <c r="G191" s="123">
        <v>12</v>
      </c>
      <c r="H191" s="124">
        <v>39</v>
      </c>
      <c r="I191" s="125"/>
      <c r="J191" s="126">
        <v>2</v>
      </c>
      <c r="K191" s="126">
        <v>1</v>
      </c>
      <c r="L191" s="126">
        <v>1</v>
      </c>
      <c r="M191" s="127" t="s">
        <v>48</v>
      </c>
      <c r="N191" s="127" t="str">
        <f>VLOOKUP(M191,F386:G389,2,FALSE)</f>
        <v>C-Plains</v>
      </c>
    </row>
    <row r="192" spans="1:15" ht="15.75">
      <c r="A192" s="62">
        <v>1442</v>
      </c>
      <c r="B192" s="118">
        <v>39893</v>
      </c>
      <c r="C192" s="119" t="s">
        <v>12</v>
      </c>
      <c r="D192" s="120">
        <v>22415</v>
      </c>
      <c r="E192" s="121">
        <f t="shared" si="2"/>
        <v>10.776442307692308</v>
      </c>
      <c r="F192" s="122">
        <f>YEARFRAC(B192,F9)</f>
        <v>5.7777777777777777</v>
      </c>
      <c r="G192" s="123">
        <v>12</v>
      </c>
      <c r="H192" s="124">
        <v>25</v>
      </c>
      <c r="I192" s="125"/>
      <c r="J192" s="126">
        <v>1</v>
      </c>
      <c r="K192" s="126">
        <v>2</v>
      </c>
      <c r="L192" s="126">
        <v>2</v>
      </c>
      <c r="M192" s="127" t="s">
        <v>52</v>
      </c>
      <c r="N192" s="127" t="str">
        <f>VLOOKUP(M192,F386:G389,2,FALSE)</f>
        <v>Midwest</v>
      </c>
    </row>
    <row r="193" spans="1:15" s="115" customFormat="1" ht="15.75">
      <c r="A193" s="113">
        <v>1443</v>
      </c>
      <c r="B193" s="118">
        <v>39897</v>
      </c>
      <c r="C193" s="119" t="s">
        <v>12</v>
      </c>
      <c r="D193" s="120">
        <v>69372</v>
      </c>
      <c r="E193" s="121">
        <f t="shared" si="2"/>
        <v>33.351923076923079</v>
      </c>
      <c r="F193" s="122">
        <f>YEARFRAC(B193,F9)</f>
        <v>5.7666666666666666</v>
      </c>
      <c r="G193" s="123">
        <v>12</v>
      </c>
      <c r="H193" s="124">
        <v>40</v>
      </c>
      <c r="I193" s="125"/>
      <c r="J193" s="126">
        <v>3</v>
      </c>
      <c r="K193" s="126">
        <v>1</v>
      </c>
      <c r="L193" s="126">
        <v>1</v>
      </c>
      <c r="M193" s="127" t="s">
        <v>51</v>
      </c>
      <c r="N193" s="127" t="str">
        <f>VLOOKUP(M193,F386:G389,2,FALSE)</f>
        <v>Northeast</v>
      </c>
      <c r="O193" s="114"/>
    </row>
    <row r="194" spans="1:15" ht="15.75">
      <c r="A194" s="62">
        <v>1444</v>
      </c>
      <c r="B194" s="118">
        <v>39902</v>
      </c>
      <c r="C194" s="119" t="s">
        <v>12</v>
      </c>
      <c r="D194" s="120">
        <v>81221</v>
      </c>
      <c r="E194" s="121">
        <f t="shared" si="2"/>
        <v>39.048557692307689</v>
      </c>
      <c r="F194" s="122">
        <f>YEARFRAC(B194,F9)</f>
        <v>5.75</v>
      </c>
      <c r="G194" s="123">
        <v>16</v>
      </c>
      <c r="H194" s="124">
        <v>42</v>
      </c>
      <c r="I194" s="125" t="str">
        <f>IF(F194&gt;=10,"Yes","No")</f>
        <v>No</v>
      </c>
      <c r="J194" s="126">
        <v>3</v>
      </c>
      <c r="K194" s="126">
        <v>2</v>
      </c>
      <c r="L194" s="126">
        <v>1</v>
      </c>
      <c r="M194" s="127" t="s">
        <v>52</v>
      </c>
      <c r="N194" s="127" t="str">
        <f>VLOOKUP(M194,F386:G389,2,FALSE)</f>
        <v>Midwest</v>
      </c>
    </row>
    <row r="195" spans="1:15" ht="15.75">
      <c r="A195" s="62">
        <v>1444</v>
      </c>
      <c r="B195" s="118">
        <v>39904</v>
      </c>
      <c r="C195" s="119" t="s">
        <v>12</v>
      </c>
      <c r="D195" s="120">
        <v>64415</v>
      </c>
      <c r="E195" s="121">
        <f t="shared" si="2"/>
        <v>30.96875</v>
      </c>
      <c r="F195" s="122">
        <f>YEARFRAC(B195,F9)</f>
        <v>5.75</v>
      </c>
      <c r="G195" s="123">
        <v>16</v>
      </c>
      <c r="H195" s="124">
        <v>34</v>
      </c>
      <c r="I195" s="125"/>
      <c r="J195" s="126">
        <v>3</v>
      </c>
      <c r="K195" s="126">
        <v>1</v>
      </c>
      <c r="L195" s="126">
        <v>1</v>
      </c>
      <c r="M195" s="127" t="s">
        <v>52</v>
      </c>
      <c r="N195" s="127" t="str">
        <f>VLOOKUP(M195,F386:G389,2,FALSE)</f>
        <v>Midwest</v>
      </c>
    </row>
    <row r="196" spans="1:15" ht="15.75">
      <c r="A196" s="62">
        <v>1445</v>
      </c>
      <c r="B196" s="118">
        <v>39911</v>
      </c>
      <c r="C196" s="119" t="s">
        <v>12</v>
      </c>
      <c r="D196" s="120">
        <v>33808</v>
      </c>
      <c r="E196" s="121">
        <f t="shared" si="2"/>
        <v>16.253846153846155</v>
      </c>
      <c r="F196" s="122">
        <f>YEARFRAC(B196,F9)</f>
        <v>5.7305555555555552</v>
      </c>
      <c r="G196" s="123">
        <v>12</v>
      </c>
      <c r="H196" s="124">
        <v>28</v>
      </c>
      <c r="I196" s="125"/>
      <c r="J196" s="126">
        <v>3</v>
      </c>
      <c r="K196" s="126">
        <v>1</v>
      </c>
      <c r="L196" s="126">
        <v>1</v>
      </c>
      <c r="M196" s="127" t="s">
        <v>48</v>
      </c>
      <c r="N196" s="127" t="str">
        <f>VLOOKUP(M196,F386:G389,2,FALSE)</f>
        <v>C-Plains</v>
      </c>
    </row>
    <row r="197" spans="1:15" s="115" customFormat="1" ht="15.75">
      <c r="A197" s="113">
        <v>1446</v>
      </c>
      <c r="B197" s="118">
        <v>39911</v>
      </c>
      <c r="C197" s="119" t="s">
        <v>12</v>
      </c>
      <c r="D197" s="120">
        <v>27574</v>
      </c>
      <c r="E197" s="121">
        <f t="shared" si="2"/>
        <v>13.256730769230769</v>
      </c>
      <c r="F197" s="122">
        <f>YEARFRAC(B197,F9)</f>
        <v>5.7305555555555552</v>
      </c>
      <c r="G197" s="123">
        <v>14</v>
      </c>
      <c r="H197" s="124">
        <v>30</v>
      </c>
      <c r="I197" s="125"/>
      <c r="J197" s="126">
        <v>4</v>
      </c>
      <c r="K197" s="126">
        <v>1</v>
      </c>
      <c r="L197" s="126">
        <v>2</v>
      </c>
      <c r="M197" s="127" t="s">
        <v>51</v>
      </c>
      <c r="N197" s="127" t="str">
        <f>VLOOKUP(M197,F386:G389,2,FALSE)</f>
        <v>Northeast</v>
      </c>
      <c r="O197" s="114"/>
    </row>
    <row r="198" spans="1:15" s="115" customFormat="1" ht="15.75">
      <c r="A198" s="113">
        <v>1447</v>
      </c>
      <c r="B198" s="118">
        <v>39915</v>
      </c>
      <c r="C198" s="119" t="s">
        <v>12</v>
      </c>
      <c r="D198" s="120">
        <v>23971</v>
      </c>
      <c r="E198" s="121">
        <f t="shared" si="2"/>
        <v>11.524519230769231</v>
      </c>
      <c r="F198" s="122">
        <f>YEARFRAC(B198,F9)</f>
        <v>5.7194444444444441</v>
      </c>
      <c r="G198" s="123">
        <v>12</v>
      </c>
      <c r="H198" s="124">
        <v>23</v>
      </c>
      <c r="I198" s="125"/>
      <c r="J198" s="126">
        <v>1</v>
      </c>
      <c r="K198" s="126">
        <v>1</v>
      </c>
      <c r="L198" s="126">
        <v>2</v>
      </c>
      <c r="M198" s="127" t="s">
        <v>51</v>
      </c>
      <c r="N198" s="127" t="str">
        <f>VLOOKUP(M198,F386:G389,2,FALSE)</f>
        <v>Northeast</v>
      </c>
      <c r="O198" s="114"/>
    </row>
    <row r="199" spans="1:15" ht="15.75">
      <c r="A199" s="62">
        <v>1447</v>
      </c>
      <c r="B199" s="118">
        <v>39918</v>
      </c>
      <c r="C199" s="119" t="s">
        <v>12</v>
      </c>
      <c r="D199" s="120">
        <v>63836</v>
      </c>
      <c r="E199" s="121">
        <f t="shared" si="2"/>
        <v>30.690384615384616</v>
      </c>
      <c r="F199" s="122">
        <f>YEARFRAC(B199,F9)</f>
        <v>5.7111111111111112</v>
      </c>
      <c r="G199" s="123">
        <v>16</v>
      </c>
      <c r="H199" s="124">
        <v>32</v>
      </c>
      <c r="I199" s="125"/>
      <c r="J199" s="126">
        <v>3</v>
      </c>
      <c r="K199" s="126">
        <v>1</v>
      </c>
      <c r="L199" s="126">
        <v>1</v>
      </c>
      <c r="M199" s="127" t="s">
        <v>48</v>
      </c>
      <c r="N199" s="127" t="str">
        <f>VLOOKUP(M199,F386:G389,2,FALSE)</f>
        <v>C-Plains</v>
      </c>
    </row>
    <row r="200" spans="1:15" s="115" customFormat="1" ht="15.75">
      <c r="A200" s="113">
        <v>1448</v>
      </c>
      <c r="B200" s="118">
        <v>39919</v>
      </c>
      <c r="C200" s="119" t="s">
        <v>12</v>
      </c>
      <c r="D200" s="120">
        <v>25456</v>
      </c>
      <c r="E200" s="121">
        <f t="shared" si="2"/>
        <v>12.238461538461538</v>
      </c>
      <c r="F200" s="122">
        <f>YEARFRAC(B200,F9)</f>
        <v>5.708333333333333</v>
      </c>
      <c r="G200" s="123">
        <v>14</v>
      </c>
      <c r="H200" s="124">
        <v>31</v>
      </c>
      <c r="I200" s="125"/>
      <c r="J200" s="126">
        <v>4</v>
      </c>
      <c r="K200" s="126">
        <v>1</v>
      </c>
      <c r="L200" s="126">
        <v>2</v>
      </c>
      <c r="M200" s="127" t="s">
        <v>51</v>
      </c>
      <c r="N200" s="127" t="str">
        <f>VLOOKUP(M200,F386:G389,2,FALSE)</f>
        <v>Northeast</v>
      </c>
      <c r="O200" s="114"/>
    </row>
    <row r="201" spans="1:15" ht="15.75">
      <c r="A201" s="62">
        <v>1450</v>
      </c>
      <c r="B201" s="118">
        <v>39919</v>
      </c>
      <c r="C201" s="119" t="s">
        <v>12</v>
      </c>
      <c r="D201" s="120">
        <v>40705</v>
      </c>
      <c r="E201" s="121">
        <f t="shared" si="2"/>
        <v>19.56971153846154</v>
      </c>
      <c r="F201" s="122">
        <f>YEARFRAC(B201,F9)</f>
        <v>5.708333333333333</v>
      </c>
      <c r="G201" s="123">
        <v>12</v>
      </c>
      <c r="H201" s="124">
        <v>34</v>
      </c>
      <c r="I201" s="125"/>
      <c r="J201" s="126">
        <v>3</v>
      </c>
      <c r="K201" s="126">
        <v>1</v>
      </c>
      <c r="L201" s="126">
        <v>1</v>
      </c>
      <c r="M201" s="127" t="s">
        <v>48</v>
      </c>
      <c r="N201" s="127" t="str">
        <f>VLOOKUP(M201,F386:G389,2,FALSE)</f>
        <v>C-Plains</v>
      </c>
    </row>
    <row r="202" spans="1:15" ht="15.75">
      <c r="A202" s="62">
        <v>1452</v>
      </c>
      <c r="B202" s="118">
        <v>39919</v>
      </c>
      <c r="C202" s="119" t="s">
        <v>12</v>
      </c>
      <c r="D202" s="120">
        <v>49838</v>
      </c>
      <c r="E202" s="121">
        <f t="shared" si="2"/>
        <v>23.960576923076925</v>
      </c>
      <c r="F202" s="122">
        <f>YEARFRAC(B202,F9)</f>
        <v>5.708333333333333</v>
      </c>
      <c r="G202" s="123">
        <v>12</v>
      </c>
      <c r="H202" s="124">
        <v>39</v>
      </c>
      <c r="I202" s="125"/>
      <c r="J202" s="126">
        <v>3</v>
      </c>
      <c r="K202" s="126">
        <v>1</v>
      </c>
      <c r="L202" s="126">
        <v>1</v>
      </c>
      <c r="M202" s="127" t="s">
        <v>52</v>
      </c>
      <c r="N202" s="127" t="str">
        <f>VLOOKUP(M202,F386:G389,2,FALSE)</f>
        <v>Midwest</v>
      </c>
    </row>
    <row r="203" spans="1:15" ht="15.75">
      <c r="A203" s="62">
        <v>1456</v>
      </c>
      <c r="B203" s="118">
        <v>39920</v>
      </c>
      <c r="C203" s="119" t="s">
        <v>12</v>
      </c>
      <c r="D203" s="120">
        <v>47522</v>
      </c>
      <c r="E203" s="121">
        <f t="shared" ref="E203:E266" si="3">D203/Annual_Hrs</f>
        <v>22.847115384615385</v>
      </c>
      <c r="F203" s="122">
        <f>YEARFRAC(B203,F9)</f>
        <v>5.7055555555555557</v>
      </c>
      <c r="G203" s="123">
        <v>12</v>
      </c>
      <c r="H203" s="124">
        <v>38</v>
      </c>
      <c r="I203" s="125"/>
      <c r="J203" s="126">
        <v>1</v>
      </c>
      <c r="K203" s="126">
        <v>1</v>
      </c>
      <c r="L203" s="126">
        <v>1</v>
      </c>
      <c r="M203" s="127" t="s">
        <v>48</v>
      </c>
      <c r="N203" s="127" t="str">
        <f>VLOOKUP(M203,F386:G389,2,FALSE)</f>
        <v>C-Plains</v>
      </c>
    </row>
    <row r="204" spans="1:15" s="115" customFormat="1" ht="15.75">
      <c r="A204" s="113">
        <v>1456</v>
      </c>
      <c r="B204" s="118">
        <v>39926</v>
      </c>
      <c r="C204" s="119" t="s">
        <v>12</v>
      </c>
      <c r="D204" s="120">
        <v>69997</v>
      </c>
      <c r="E204" s="121">
        <f t="shared" si="3"/>
        <v>33.652403846153845</v>
      </c>
      <c r="F204" s="122">
        <f>YEARFRAC(B204,F9)</f>
        <v>5.6888888888888891</v>
      </c>
      <c r="G204" s="123">
        <v>12</v>
      </c>
      <c r="H204" s="124">
        <v>41</v>
      </c>
      <c r="I204" s="125" t="str">
        <f>IF(F204&gt;=10,"Yes","No")</f>
        <v>No</v>
      </c>
      <c r="J204" s="126">
        <v>1</v>
      </c>
      <c r="K204" s="126">
        <v>1</v>
      </c>
      <c r="L204" s="126">
        <v>1</v>
      </c>
      <c r="M204" s="127" t="s">
        <v>51</v>
      </c>
      <c r="N204" s="127" t="str">
        <f>VLOOKUP(M204,F386:G389,2,FALSE)</f>
        <v>Northeast</v>
      </c>
      <c r="O204" s="114"/>
    </row>
    <row r="205" spans="1:15" ht="15.75">
      <c r="A205" s="62">
        <v>1461</v>
      </c>
      <c r="B205" s="118">
        <v>39947</v>
      </c>
      <c r="C205" s="119" t="s">
        <v>12</v>
      </c>
      <c r="D205" s="120">
        <v>53215</v>
      </c>
      <c r="E205" s="121">
        <f t="shared" si="3"/>
        <v>25.584134615384617</v>
      </c>
      <c r="F205" s="122">
        <f>YEARFRAC(B205,F9)</f>
        <v>5.6305555555555555</v>
      </c>
      <c r="G205" s="123">
        <v>16</v>
      </c>
      <c r="H205" s="124">
        <v>28</v>
      </c>
      <c r="I205" s="125"/>
      <c r="J205" s="126">
        <v>3</v>
      </c>
      <c r="K205" s="126">
        <v>1</v>
      </c>
      <c r="L205" s="126">
        <v>2</v>
      </c>
      <c r="M205" s="127" t="s">
        <v>52</v>
      </c>
      <c r="N205" s="127" t="str">
        <f>VLOOKUP(M205,F386:G389,2,FALSE)</f>
        <v>Midwest</v>
      </c>
    </row>
    <row r="206" spans="1:15" ht="15.75">
      <c r="A206" s="62">
        <v>1466</v>
      </c>
      <c r="B206" s="118">
        <v>39949</v>
      </c>
      <c r="C206" s="119" t="s">
        <v>12</v>
      </c>
      <c r="D206" s="120">
        <v>39634</v>
      </c>
      <c r="E206" s="121">
        <f t="shared" si="3"/>
        <v>19.054807692307691</v>
      </c>
      <c r="F206" s="122">
        <f>YEARFRAC(B206,F9)</f>
        <v>5.625</v>
      </c>
      <c r="G206" s="123">
        <v>12</v>
      </c>
      <c r="H206" s="124">
        <v>34</v>
      </c>
      <c r="I206" s="125"/>
      <c r="J206" s="126">
        <v>1</v>
      </c>
      <c r="K206" s="126">
        <v>1</v>
      </c>
      <c r="L206" s="126">
        <v>1</v>
      </c>
      <c r="M206" s="127" t="s">
        <v>48</v>
      </c>
      <c r="N206" s="127" t="str">
        <f>VLOOKUP(M206,F386:G389,2,FALSE)</f>
        <v>C-Plains</v>
      </c>
    </row>
    <row r="207" spans="1:15" ht="15.75">
      <c r="A207" s="62">
        <v>1466</v>
      </c>
      <c r="B207" s="118">
        <v>39951</v>
      </c>
      <c r="C207" s="119" t="s">
        <v>12</v>
      </c>
      <c r="D207" s="120">
        <v>64329</v>
      </c>
      <c r="E207" s="121">
        <f t="shared" si="3"/>
        <v>30.927403846153847</v>
      </c>
      <c r="F207" s="122">
        <f>YEARFRAC(B207,F9)</f>
        <v>5.6194444444444445</v>
      </c>
      <c r="G207" s="123">
        <v>16</v>
      </c>
      <c r="H207" s="124">
        <v>33</v>
      </c>
      <c r="I207" s="125"/>
      <c r="J207" s="126">
        <v>3</v>
      </c>
      <c r="K207" s="126">
        <v>1</v>
      </c>
      <c r="L207" s="126">
        <v>2</v>
      </c>
      <c r="M207" s="127" t="s">
        <v>52</v>
      </c>
      <c r="N207" s="127" t="str">
        <f>VLOOKUP(M207,F386:G389,2,FALSE)</f>
        <v>Midwest</v>
      </c>
    </row>
    <row r="208" spans="1:15" ht="15.75">
      <c r="A208" s="62">
        <v>1468</v>
      </c>
      <c r="B208" s="118">
        <v>39960</v>
      </c>
      <c r="C208" s="119" t="s">
        <v>12</v>
      </c>
      <c r="D208" s="120">
        <v>56291</v>
      </c>
      <c r="E208" s="121">
        <f t="shared" si="3"/>
        <v>27.062980769230769</v>
      </c>
      <c r="F208" s="122">
        <f>YEARFRAC(B208,F9)</f>
        <v>5.5944444444444441</v>
      </c>
      <c r="G208" s="123">
        <v>12</v>
      </c>
      <c r="H208" s="124">
        <v>50</v>
      </c>
      <c r="I208" s="125" t="str">
        <f>IF(F208&gt;=10,"Yes","No")</f>
        <v>No</v>
      </c>
      <c r="J208" s="126">
        <v>1</v>
      </c>
      <c r="K208" s="126">
        <v>1</v>
      </c>
      <c r="L208" s="126">
        <v>2</v>
      </c>
      <c r="M208" s="127" t="s">
        <v>48</v>
      </c>
      <c r="N208" s="127" t="str">
        <f>VLOOKUP(M208,F386:G389,2,FALSE)</f>
        <v>C-Plains</v>
      </c>
    </row>
    <row r="209" spans="1:15" s="115" customFormat="1" ht="15.75">
      <c r="A209" s="113">
        <v>1471</v>
      </c>
      <c r="B209" s="118">
        <v>39963</v>
      </c>
      <c r="C209" s="119" t="s">
        <v>12</v>
      </c>
      <c r="D209" s="120">
        <v>36729</v>
      </c>
      <c r="E209" s="121">
        <f t="shared" si="3"/>
        <v>17.658173076923077</v>
      </c>
      <c r="F209" s="122">
        <f>YEARFRAC(B209,F9)</f>
        <v>5.583333333333333</v>
      </c>
      <c r="G209" s="123">
        <v>12</v>
      </c>
      <c r="H209" s="124">
        <v>32</v>
      </c>
      <c r="I209" s="125"/>
      <c r="J209" s="126">
        <v>3</v>
      </c>
      <c r="K209" s="126">
        <v>1</v>
      </c>
      <c r="L209" s="126">
        <v>1</v>
      </c>
      <c r="M209" s="127" t="s">
        <v>51</v>
      </c>
      <c r="N209" s="127" t="str">
        <f>VLOOKUP(M209,F386:G389,2,FALSE)</f>
        <v>Northeast</v>
      </c>
      <c r="O209" s="114"/>
    </row>
    <row r="210" spans="1:15" ht="15.75">
      <c r="A210" s="62">
        <v>1474</v>
      </c>
      <c r="B210" s="118">
        <v>39963</v>
      </c>
      <c r="C210" s="119" t="s">
        <v>12</v>
      </c>
      <c r="D210" s="120">
        <v>39331</v>
      </c>
      <c r="E210" s="121">
        <f t="shared" si="3"/>
        <v>18.909134615384616</v>
      </c>
      <c r="F210" s="122">
        <f>YEARFRAC(B210,F9)</f>
        <v>5.583333333333333</v>
      </c>
      <c r="G210" s="123">
        <v>12</v>
      </c>
      <c r="H210" s="124">
        <v>34</v>
      </c>
      <c r="I210" s="125"/>
      <c r="J210" s="126">
        <v>3</v>
      </c>
      <c r="K210" s="126">
        <v>1</v>
      </c>
      <c r="L210" s="126">
        <v>1</v>
      </c>
      <c r="M210" s="127" t="s">
        <v>48</v>
      </c>
      <c r="N210" s="127" t="str">
        <f>VLOOKUP(M210,F386:G389,2,FALSE)</f>
        <v>C-Plains</v>
      </c>
    </row>
    <row r="211" spans="1:15" ht="15.75">
      <c r="A211" s="62">
        <v>1476</v>
      </c>
      <c r="B211" s="118">
        <v>39966</v>
      </c>
      <c r="C211" s="119" t="s">
        <v>12</v>
      </c>
      <c r="D211" s="120">
        <v>48560</v>
      </c>
      <c r="E211" s="121">
        <f t="shared" si="3"/>
        <v>23.346153846153847</v>
      </c>
      <c r="F211" s="122">
        <f>YEARFRAC(B211,F9)</f>
        <v>5.5805555555555557</v>
      </c>
      <c r="G211" s="123">
        <v>14</v>
      </c>
      <c r="H211" s="124">
        <v>32</v>
      </c>
      <c r="I211" s="125"/>
      <c r="J211" s="126">
        <v>3</v>
      </c>
      <c r="K211" s="126">
        <v>2</v>
      </c>
      <c r="L211" s="126">
        <v>1</v>
      </c>
      <c r="M211" s="127" t="s">
        <v>52</v>
      </c>
      <c r="N211" s="127" t="str">
        <f>VLOOKUP(M211,F386:G389,2,FALSE)</f>
        <v>Midwest</v>
      </c>
    </row>
    <row r="212" spans="1:15" s="115" customFormat="1" ht="15.75">
      <c r="A212" s="113">
        <v>1477</v>
      </c>
      <c r="B212" s="118">
        <v>39967</v>
      </c>
      <c r="C212" s="119" t="s">
        <v>12</v>
      </c>
      <c r="D212" s="120">
        <v>63388</v>
      </c>
      <c r="E212" s="121">
        <f t="shared" si="3"/>
        <v>30.475000000000001</v>
      </c>
      <c r="F212" s="122">
        <f>YEARFRAC(B212,F9)</f>
        <v>5.5777777777777775</v>
      </c>
      <c r="G212" s="123">
        <v>16</v>
      </c>
      <c r="H212" s="124">
        <v>44</v>
      </c>
      <c r="I212" s="125" t="str">
        <f>IF(F212&gt;=10,"Yes","No")</f>
        <v>No</v>
      </c>
      <c r="J212" s="126">
        <v>3</v>
      </c>
      <c r="K212" s="126">
        <v>2</v>
      </c>
      <c r="L212" s="126">
        <v>1</v>
      </c>
      <c r="M212" s="127" t="s">
        <v>51</v>
      </c>
      <c r="N212" s="127" t="str">
        <f>VLOOKUP(M212,F386:G389,2,FALSE)</f>
        <v>Northeast</v>
      </c>
      <c r="O212" s="114"/>
    </row>
    <row r="213" spans="1:15" s="115" customFormat="1" ht="15.75">
      <c r="A213" s="113">
        <v>1477</v>
      </c>
      <c r="B213" s="118">
        <v>39976</v>
      </c>
      <c r="C213" s="119" t="s">
        <v>12</v>
      </c>
      <c r="D213" s="120">
        <v>33169</v>
      </c>
      <c r="E213" s="121">
        <f t="shared" si="3"/>
        <v>15.946634615384616</v>
      </c>
      <c r="F213" s="122">
        <f>YEARFRAC(B213,F9)</f>
        <v>5.552777777777778</v>
      </c>
      <c r="G213" s="123">
        <v>12</v>
      </c>
      <c r="H213" s="124">
        <v>23</v>
      </c>
      <c r="I213" s="125"/>
      <c r="J213" s="126">
        <v>1</v>
      </c>
      <c r="K213" s="126">
        <v>1</v>
      </c>
      <c r="L213" s="126">
        <v>2</v>
      </c>
      <c r="M213" s="127" t="s">
        <v>51</v>
      </c>
      <c r="N213" s="127" t="str">
        <f>VLOOKUP(M213,F386:G389,2,FALSE)</f>
        <v>Northeast</v>
      </c>
      <c r="O213" s="114"/>
    </row>
    <row r="214" spans="1:15" ht="15.75">
      <c r="A214" s="62">
        <v>1481</v>
      </c>
      <c r="B214" s="118">
        <v>39981</v>
      </c>
      <c r="C214" s="119" t="s">
        <v>12</v>
      </c>
      <c r="D214" s="120">
        <v>54158</v>
      </c>
      <c r="E214" s="121">
        <f t="shared" si="3"/>
        <v>26.037500000000001</v>
      </c>
      <c r="F214" s="122">
        <f>YEARFRAC(B214,F9)</f>
        <v>5.5388888888888888</v>
      </c>
      <c r="G214" s="123">
        <v>12</v>
      </c>
      <c r="H214" s="124">
        <v>47</v>
      </c>
      <c r="I214" s="125" t="str">
        <f>IF(F214&gt;=10,"Yes","No")</f>
        <v>No</v>
      </c>
      <c r="J214" s="126">
        <v>3</v>
      </c>
      <c r="K214" s="126">
        <v>1</v>
      </c>
      <c r="L214" s="126">
        <v>1</v>
      </c>
      <c r="M214" s="127" t="s">
        <v>48</v>
      </c>
      <c r="N214" s="127" t="str">
        <f>VLOOKUP(M214,F386:G389,2,FALSE)</f>
        <v>C-Plains</v>
      </c>
    </row>
    <row r="215" spans="1:15" s="115" customFormat="1" ht="15.75">
      <c r="A215" s="113">
        <v>1484</v>
      </c>
      <c r="B215" s="118">
        <v>39981</v>
      </c>
      <c r="C215" s="119" t="s">
        <v>12</v>
      </c>
      <c r="D215" s="120">
        <v>45622</v>
      </c>
      <c r="E215" s="121">
        <f t="shared" si="3"/>
        <v>21.933653846153845</v>
      </c>
      <c r="F215" s="122">
        <f>YEARFRAC(B215,F9)</f>
        <v>5.5388888888888888</v>
      </c>
      <c r="G215" s="123">
        <v>14</v>
      </c>
      <c r="H215" s="124">
        <v>35</v>
      </c>
      <c r="I215" s="125"/>
      <c r="J215" s="126">
        <v>1</v>
      </c>
      <c r="K215" s="126">
        <v>2</v>
      </c>
      <c r="L215" s="126">
        <v>1</v>
      </c>
      <c r="M215" s="127" t="s">
        <v>51</v>
      </c>
      <c r="N215" s="127" t="str">
        <f>VLOOKUP(M215,F386:G389,2,FALSE)</f>
        <v>Northeast</v>
      </c>
      <c r="O215" s="114"/>
    </row>
    <row r="216" spans="1:15" ht="15.75">
      <c r="A216" s="62">
        <v>1492</v>
      </c>
      <c r="B216" s="118">
        <v>39982</v>
      </c>
      <c r="C216" s="119" t="s">
        <v>12</v>
      </c>
      <c r="D216" s="120">
        <v>55936</v>
      </c>
      <c r="E216" s="121">
        <f t="shared" si="3"/>
        <v>26.892307692307693</v>
      </c>
      <c r="F216" s="122">
        <f>YEARFRAC(B216,F9)</f>
        <v>5.5361111111111114</v>
      </c>
      <c r="G216" s="123">
        <v>12</v>
      </c>
      <c r="H216" s="124">
        <v>49</v>
      </c>
      <c r="I216" s="125" t="str">
        <f>IF(F216&gt;=10,"Yes","No")</f>
        <v>No</v>
      </c>
      <c r="J216" s="126">
        <v>1</v>
      </c>
      <c r="K216" s="126">
        <v>1</v>
      </c>
      <c r="L216" s="126">
        <v>2</v>
      </c>
      <c r="M216" s="127" t="s">
        <v>52</v>
      </c>
      <c r="N216" s="127" t="str">
        <f>VLOOKUP(M216,F386:G389,2,FALSE)</f>
        <v>Midwest</v>
      </c>
    </row>
    <row r="217" spans="1:15" ht="15.75">
      <c r="A217" s="62">
        <v>1496</v>
      </c>
      <c r="B217" s="118">
        <v>39982</v>
      </c>
      <c r="C217" s="119" t="s">
        <v>12</v>
      </c>
      <c r="D217" s="120">
        <v>31035</v>
      </c>
      <c r="E217" s="121">
        <f t="shared" si="3"/>
        <v>14.920673076923077</v>
      </c>
      <c r="F217" s="122">
        <f>YEARFRAC(B217,F9)</f>
        <v>5.5361111111111114</v>
      </c>
      <c r="G217" s="123">
        <v>12</v>
      </c>
      <c r="H217" s="124">
        <v>19</v>
      </c>
      <c r="I217" s="125"/>
      <c r="J217" s="126">
        <v>1</v>
      </c>
      <c r="K217" s="126">
        <v>1</v>
      </c>
      <c r="L217" s="126">
        <v>2</v>
      </c>
      <c r="M217" s="127" t="s">
        <v>48</v>
      </c>
      <c r="N217" s="127" t="str">
        <f>VLOOKUP(M217,F386:G389,2,FALSE)</f>
        <v>C-Plains</v>
      </c>
    </row>
    <row r="218" spans="1:15" ht="15.75">
      <c r="A218" s="62">
        <v>1498</v>
      </c>
      <c r="B218" s="118">
        <v>39982</v>
      </c>
      <c r="C218" s="119" t="s">
        <v>12</v>
      </c>
      <c r="D218" s="120">
        <v>33574</v>
      </c>
      <c r="E218" s="121">
        <f t="shared" si="3"/>
        <v>16.141346153846154</v>
      </c>
      <c r="F218" s="122">
        <f>YEARFRAC(B218,F9)</f>
        <v>5.5361111111111114</v>
      </c>
      <c r="G218" s="123">
        <v>12</v>
      </c>
      <c r="H218" s="124">
        <v>27</v>
      </c>
      <c r="I218" s="125"/>
      <c r="J218" s="126">
        <v>1</v>
      </c>
      <c r="K218" s="126">
        <v>1</v>
      </c>
      <c r="L218" s="126">
        <v>1</v>
      </c>
      <c r="M218" s="127" t="s">
        <v>52</v>
      </c>
      <c r="N218" s="127" t="str">
        <f>VLOOKUP(M218,F386:G389,2,FALSE)</f>
        <v>Midwest</v>
      </c>
    </row>
    <row r="219" spans="1:15" ht="15.75">
      <c r="A219" s="62">
        <v>1498</v>
      </c>
      <c r="B219" s="118">
        <v>39995</v>
      </c>
      <c r="C219" s="119" t="s">
        <v>12</v>
      </c>
      <c r="D219" s="120">
        <v>65283</v>
      </c>
      <c r="E219" s="121">
        <f t="shared" si="3"/>
        <v>31.386057692307691</v>
      </c>
      <c r="F219" s="122">
        <f>YEARFRAC(B219,F9)</f>
        <v>5.5</v>
      </c>
      <c r="G219" s="123">
        <v>12</v>
      </c>
      <c r="H219" s="124">
        <v>28</v>
      </c>
      <c r="I219" s="125"/>
      <c r="J219" s="126">
        <v>4</v>
      </c>
      <c r="K219" s="126">
        <v>2</v>
      </c>
      <c r="L219" s="126">
        <v>1</v>
      </c>
      <c r="M219" s="127" t="s">
        <v>48</v>
      </c>
      <c r="N219" s="127" t="str">
        <f>VLOOKUP(M219,F386:G389,2,FALSE)</f>
        <v>C-Plains</v>
      </c>
    </row>
    <row r="220" spans="1:15" s="115" customFormat="1" ht="15.75">
      <c r="A220" s="113">
        <v>1504</v>
      </c>
      <c r="B220" s="118">
        <v>40002</v>
      </c>
      <c r="C220" s="119" t="s">
        <v>12</v>
      </c>
      <c r="D220" s="120">
        <v>52104</v>
      </c>
      <c r="E220" s="121">
        <f t="shared" si="3"/>
        <v>25.05</v>
      </c>
      <c r="F220" s="122">
        <f>YEARFRAC(B220,F9)</f>
        <v>5.4805555555555552</v>
      </c>
      <c r="G220" s="123">
        <v>12</v>
      </c>
      <c r="H220" s="124">
        <v>44</v>
      </c>
      <c r="I220" s="125"/>
      <c r="J220" s="126">
        <v>1</v>
      </c>
      <c r="K220" s="126">
        <v>1</v>
      </c>
      <c r="L220" s="126">
        <v>1</v>
      </c>
      <c r="M220" s="127" t="s">
        <v>51</v>
      </c>
      <c r="N220" s="127" t="str">
        <f>VLOOKUP(M220,F386:G389,2,FALSE)</f>
        <v>Northeast</v>
      </c>
      <c r="O220" s="114"/>
    </row>
    <row r="221" spans="1:15" s="115" customFormat="1" ht="15.75">
      <c r="A221" s="113">
        <v>1504</v>
      </c>
      <c r="B221" s="118">
        <v>40004</v>
      </c>
      <c r="C221" s="119" t="s">
        <v>12</v>
      </c>
      <c r="D221" s="120">
        <v>38455</v>
      </c>
      <c r="E221" s="121">
        <f t="shared" si="3"/>
        <v>18.48798076923077</v>
      </c>
      <c r="F221" s="122">
        <f>YEARFRAC(B221,F9)</f>
        <v>5.4749999999999996</v>
      </c>
      <c r="G221" s="123">
        <v>12</v>
      </c>
      <c r="H221" s="124">
        <v>28</v>
      </c>
      <c r="I221" s="125"/>
      <c r="J221" s="126">
        <v>3</v>
      </c>
      <c r="K221" s="126">
        <v>2</v>
      </c>
      <c r="L221" s="126">
        <v>1</v>
      </c>
      <c r="M221" s="127" t="s">
        <v>51</v>
      </c>
      <c r="N221" s="127" t="str">
        <f>VLOOKUP(M221,F386:G389,2,FALSE)</f>
        <v>Northeast</v>
      </c>
      <c r="O221" s="114"/>
    </row>
    <row r="222" spans="1:15" ht="15.75">
      <c r="A222" s="62">
        <v>1505</v>
      </c>
      <c r="B222" s="118">
        <v>40004</v>
      </c>
      <c r="C222" s="119" t="s">
        <v>12</v>
      </c>
      <c r="D222" s="120">
        <v>33609</v>
      </c>
      <c r="E222" s="121">
        <f t="shared" si="3"/>
        <v>16.158173076923077</v>
      </c>
      <c r="F222" s="122">
        <f>YEARFRAC(B222,F9)</f>
        <v>5.4749999999999996</v>
      </c>
      <c r="G222" s="123">
        <v>12</v>
      </c>
      <c r="H222" s="124">
        <v>28</v>
      </c>
      <c r="I222" s="125"/>
      <c r="J222" s="126">
        <v>1</v>
      </c>
      <c r="K222" s="126">
        <v>2</v>
      </c>
      <c r="L222" s="126">
        <v>1</v>
      </c>
      <c r="M222" s="127" t="s">
        <v>52</v>
      </c>
      <c r="N222" s="127" t="str">
        <f>VLOOKUP(M222,F386:G389,2,FALSE)</f>
        <v>Midwest</v>
      </c>
    </row>
    <row r="223" spans="1:15" ht="15.75">
      <c r="A223" s="62">
        <v>1506</v>
      </c>
      <c r="B223" s="118">
        <v>40004</v>
      </c>
      <c r="C223" s="119" t="s">
        <v>12</v>
      </c>
      <c r="D223" s="120">
        <v>88517</v>
      </c>
      <c r="E223" s="121">
        <f t="shared" si="3"/>
        <v>42.556249999999999</v>
      </c>
      <c r="F223" s="122">
        <f>YEARFRAC(B223,F9)</f>
        <v>5.4749999999999996</v>
      </c>
      <c r="G223" s="123">
        <v>19</v>
      </c>
      <c r="H223" s="124">
        <v>43</v>
      </c>
      <c r="I223" s="125" t="str">
        <f>IF(F223&gt;=10,"Yes","No")</f>
        <v>No</v>
      </c>
      <c r="J223" s="126">
        <v>1</v>
      </c>
      <c r="K223" s="126">
        <v>1</v>
      </c>
      <c r="L223" s="126">
        <v>1</v>
      </c>
      <c r="M223" s="127" t="s">
        <v>48</v>
      </c>
      <c r="N223" s="127" t="str">
        <f>VLOOKUP(M223,F386:G389,2,FALSE)</f>
        <v>C-Plains</v>
      </c>
    </row>
    <row r="224" spans="1:15" ht="15.75">
      <c r="A224" s="62">
        <v>1507</v>
      </c>
      <c r="B224" s="118">
        <v>40004</v>
      </c>
      <c r="C224" s="119" t="s">
        <v>12</v>
      </c>
      <c r="D224" s="120">
        <v>15182</v>
      </c>
      <c r="E224" s="121">
        <f t="shared" si="3"/>
        <v>7.2990384615384611</v>
      </c>
      <c r="F224" s="122">
        <f>YEARFRAC(B224,F9)</f>
        <v>5.4749999999999996</v>
      </c>
      <c r="G224" s="123">
        <v>12</v>
      </c>
      <c r="H224" s="124">
        <v>18</v>
      </c>
      <c r="I224" s="125"/>
      <c r="J224" s="126">
        <v>1</v>
      </c>
      <c r="K224" s="126">
        <v>1</v>
      </c>
      <c r="L224" s="126">
        <v>2</v>
      </c>
      <c r="M224" s="127" t="s">
        <v>52</v>
      </c>
      <c r="N224" s="127" t="str">
        <f>VLOOKUP(M224,F386:G389,2,FALSE)</f>
        <v>Midwest</v>
      </c>
    </row>
    <row r="225" spans="1:15" s="115" customFormat="1" ht="15.75">
      <c r="A225" s="113">
        <v>1513</v>
      </c>
      <c r="B225" s="118">
        <v>40004</v>
      </c>
      <c r="C225" s="119" t="s">
        <v>12</v>
      </c>
      <c r="D225" s="120">
        <v>54358</v>
      </c>
      <c r="E225" s="121">
        <f t="shared" si="3"/>
        <v>26.133653846153845</v>
      </c>
      <c r="F225" s="122">
        <f>YEARFRAC(B225,F9)</f>
        <v>5.4749999999999996</v>
      </c>
      <c r="G225" s="123">
        <v>12</v>
      </c>
      <c r="H225" s="124">
        <v>47</v>
      </c>
      <c r="I225" s="125" t="str">
        <f>IF(F225&gt;=10,"Yes","No")</f>
        <v>No</v>
      </c>
      <c r="J225" s="126">
        <v>3</v>
      </c>
      <c r="K225" s="126">
        <v>1</v>
      </c>
      <c r="L225" s="126">
        <v>1</v>
      </c>
      <c r="M225" s="127" t="s">
        <v>51</v>
      </c>
      <c r="N225" s="127" t="str">
        <f>VLOOKUP(M225,F386:G389,2,FALSE)</f>
        <v>Northeast</v>
      </c>
      <c r="O225" s="114"/>
    </row>
    <row r="226" spans="1:15" ht="15.75">
      <c r="A226" s="62">
        <v>1515</v>
      </c>
      <c r="B226" s="118">
        <v>40008</v>
      </c>
      <c r="C226" s="119" t="s">
        <v>12</v>
      </c>
      <c r="D226" s="120">
        <v>66230</v>
      </c>
      <c r="E226" s="121">
        <f t="shared" si="3"/>
        <v>31.841346153846153</v>
      </c>
      <c r="F226" s="122">
        <f>YEARFRAC(B226,F9)</f>
        <v>5.4638888888888886</v>
      </c>
      <c r="G226" s="123">
        <v>16</v>
      </c>
      <c r="H226" s="124">
        <v>36</v>
      </c>
      <c r="I226" s="125" t="str">
        <f>IF(F226&gt;=10,"Yes","No")</f>
        <v>No</v>
      </c>
      <c r="J226" s="126">
        <v>3</v>
      </c>
      <c r="K226" s="126">
        <v>2</v>
      </c>
      <c r="L226" s="126">
        <v>2</v>
      </c>
      <c r="M226" s="127" t="s">
        <v>48</v>
      </c>
      <c r="N226" s="127" t="str">
        <f>VLOOKUP(M226,F386:G389,2,FALSE)</f>
        <v>C-Plains</v>
      </c>
    </row>
    <row r="227" spans="1:15" ht="15.75">
      <c r="A227" s="62">
        <v>1517</v>
      </c>
      <c r="B227" s="118">
        <v>40017</v>
      </c>
      <c r="C227" s="119" t="s">
        <v>12</v>
      </c>
      <c r="D227" s="120">
        <v>62572</v>
      </c>
      <c r="E227" s="121">
        <f t="shared" si="3"/>
        <v>30.082692307692309</v>
      </c>
      <c r="F227" s="122">
        <f>YEARFRAC(B227,F9)</f>
        <v>5.4388888888888891</v>
      </c>
      <c r="G227" s="123">
        <v>16</v>
      </c>
      <c r="H227" s="124">
        <v>26</v>
      </c>
      <c r="I227" s="125"/>
      <c r="J227" s="126">
        <v>1</v>
      </c>
      <c r="K227" s="126">
        <v>2</v>
      </c>
      <c r="L227" s="126">
        <v>2</v>
      </c>
      <c r="M227" s="127" t="s">
        <v>52</v>
      </c>
      <c r="N227" s="127" t="str">
        <f>VLOOKUP(M227,F386:G389,2,FALSE)</f>
        <v>Midwest</v>
      </c>
    </row>
    <row r="228" spans="1:15" ht="15.75">
      <c r="A228" s="62">
        <v>1519</v>
      </c>
      <c r="B228" s="118">
        <v>40019</v>
      </c>
      <c r="C228" s="119" t="s">
        <v>12</v>
      </c>
      <c r="D228" s="120">
        <v>63010</v>
      </c>
      <c r="E228" s="121">
        <f t="shared" si="3"/>
        <v>30.29326923076923</v>
      </c>
      <c r="F228" s="122">
        <f>YEARFRAC(B228,F9)</f>
        <v>5.4333333333333336</v>
      </c>
      <c r="G228" s="123">
        <v>16</v>
      </c>
      <c r="H228" s="124">
        <v>33</v>
      </c>
      <c r="I228" s="125"/>
      <c r="J228" s="126">
        <v>3</v>
      </c>
      <c r="K228" s="126">
        <v>1</v>
      </c>
      <c r="L228" s="126">
        <v>2</v>
      </c>
      <c r="M228" s="127" t="s">
        <v>52</v>
      </c>
      <c r="N228" s="127" t="str">
        <f>VLOOKUP(M228,F386:G389,2,FALSE)</f>
        <v>Midwest</v>
      </c>
    </row>
    <row r="229" spans="1:15" ht="15.75">
      <c r="A229" s="62">
        <v>1519</v>
      </c>
      <c r="B229" s="118">
        <v>40031</v>
      </c>
      <c r="C229" s="119" t="s">
        <v>12</v>
      </c>
      <c r="D229" s="120">
        <v>29819</v>
      </c>
      <c r="E229" s="121">
        <f t="shared" si="3"/>
        <v>14.336057692307692</v>
      </c>
      <c r="F229" s="122">
        <f>YEARFRAC(B229,F9)</f>
        <v>5.4027777777777777</v>
      </c>
      <c r="G229" s="123">
        <v>12</v>
      </c>
      <c r="H229" s="124">
        <v>19</v>
      </c>
      <c r="I229" s="125"/>
      <c r="J229" s="126">
        <v>4</v>
      </c>
      <c r="K229" s="126">
        <v>2</v>
      </c>
      <c r="L229" s="126">
        <v>2</v>
      </c>
      <c r="M229" s="127" t="s">
        <v>48</v>
      </c>
      <c r="N229" s="127" t="str">
        <f>VLOOKUP(M229,F386:G389,2,FALSE)</f>
        <v>C-Plains</v>
      </c>
    </row>
    <row r="230" spans="1:15" ht="15.75">
      <c r="A230" s="62">
        <v>1523</v>
      </c>
      <c r="B230" s="118">
        <v>40034</v>
      </c>
      <c r="C230" s="119" t="s">
        <v>12</v>
      </c>
      <c r="D230" s="120">
        <v>50767</v>
      </c>
      <c r="E230" s="121">
        <f t="shared" si="3"/>
        <v>24.407211538461539</v>
      </c>
      <c r="F230" s="122">
        <f>YEARFRAC(B230,F9)</f>
        <v>5.3944444444444448</v>
      </c>
      <c r="G230" s="123">
        <v>16</v>
      </c>
      <c r="H230" s="124">
        <v>35</v>
      </c>
      <c r="I230" s="125"/>
      <c r="J230" s="126">
        <v>2</v>
      </c>
      <c r="K230" s="126">
        <v>1</v>
      </c>
      <c r="L230" s="126">
        <v>2</v>
      </c>
      <c r="M230" s="127" t="s">
        <v>52</v>
      </c>
      <c r="N230" s="127" t="str">
        <f>VLOOKUP(M230,F386:G389,2,FALSE)</f>
        <v>Midwest</v>
      </c>
    </row>
    <row r="231" spans="1:15" ht="15.75">
      <c r="A231" s="62">
        <v>1525</v>
      </c>
      <c r="B231" s="118">
        <v>40038</v>
      </c>
      <c r="C231" s="119" t="s">
        <v>12</v>
      </c>
      <c r="D231" s="120">
        <v>27633</v>
      </c>
      <c r="E231" s="121">
        <f t="shared" si="3"/>
        <v>13.285096153846155</v>
      </c>
      <c r="F231" s="122">
        <f>YEARFRAC(B231,F9)</f>
        <v>5.3833333333333337</v>
      </c>
      <c r="G231" s="123">
        <v>12</v>
      </c>
      <c r="H231" s="124">
        <v>30</v>
      </c>
      <c r="I231" s="125"/>
      <c r="J231" s="126">
        <v>3</v>
      </c>
      <c r="K231" s="126">
        <v>1</v>
      </c>
      <c r="L231" s="126">
        <v>2</v>
      </c>
      <c r="M231" s="127" t="s">
        <v>48</v>
      </c>
      <c r="N231" s="127" t="str">
        <f>VLOOKUP(M231,F386:G389,2,FALSE)</f>
        <v>C-Plains</v>
      </c>
    </row>
    <row r="232" spans="1:15" s="115" customFormat="1" ht="15.75">
      <c r="A232" s="113">
        <v>1527</v>
      </c>
      <c r="B232" s="118">
        <v>40044</v>
      </c>
      <c r="C232" s="119" t="s">
        <v>12</v>
      </c>
      <c r="D232" s="120">
        <v>59872</v>
      </c>
      <c r="E232" s="121">
        <f t="shared" si="3"/>
        <v>28.784615384615385</v>
      </c>
      <c r="F232" s="122">
        <f>YEARFRAC(B232,F9)</f>
        <v>5.3666666666666663</v>
      </c>
      <c r="G232" s="123">
        <v>12</v>
      </c>
      <c r="H232" s="124">
        <v>54</v>
      </c>
      <c r="I232" s="125" t="str">
        <f>IF(F232&gt;=10,"Yes","No")</f>
        <v>No</v>
      </c>
      <c r="J232" s="126">
        <v>3</v>
      </c>
      <c r="K232" s="126">
        <v>1</v>
      </c>
      <c r="L232" s="126">
        <v>1</v>
      </c>
      <c r="M232" s="127" t="s">
        <v>51</v>
      </c>
      <c r="N232" s="127" t="str">
        <f>VLOOKUP(M232,F387:G390,2,FALSE)</f>
        <v>Northeast</v>
      </c>
      <c r="O232" s="114"/>
    </row>
    <row r="233" spans="1:15" ht="15.75">
      <c r="A233" s="62">
        <v>1529</v>
      </c>
      <c r="B233" s="118">
        <v>40046</v>
      </c>
      <c r="C233" s="119" t="s">
        <v>12</v>
      </c>
      <c r="D233" s="120">
        <v>32797</v>
      </c>
      <c r="E233" s="121">
        <f t="shared" si="3"/>
        <v>15.767788461538462</v>
      </c>
      <c r="F233" s="122">
        <f>YEARFRAC(B233,F9)</f>
        <v>5.3611111111111107</v>
      </c>
      <c r="G233" s="123">
        <v>12</v>
      </c>
      <c r="H233" s="124">
        <v>24</v>
      </c>
      <c r="I233" s="125"/>
      <c r="J233" s="126">
        <v>3</v>
      </c>
      <c r="K233" s="126">
        <v>1</v>
      </c>
      <c r="L233" s="126">
        <v>1</v>
      </c>
      <c r="M233" s="127" t="s">
        <v>48</v>
      </c>
      <c r="N233" s="127" t="str">
        <f>VLOOKUP(M233,F386:G389,2,FALSE)</f>
        <v>C-Plains</v>
      </c>
    </row>
    <row r="234" spans="1:15" s="115" customFormat="1" ht="15.75">
      <c r="A234" s="113">
        <v>1531</v>
      </c>
      <c r="B234" s="118">
        <v>40052</v>
      </c>
      <c r="C234" s="119" t="s">
        <v>12</v>
      </c>
      <c r="D234" s="120">
        <v>62412</v>
      </c>
      <c r="E234" s="121">
        <f t="shared" si="3"/>
        <v>30.005769230769232</v>
      </c>
      <c r="F234" s="122">
        <f>YEARFRAC(B234,F9)</f>
        <v>5.3444444444444441</v>
      </c>
      <c r="G234" s="123">
        <v>16</v>
      </c>
      <c r="H234" s="124">
        <v>32</v>
      </c>
      <c r="I234" s="125"/>
      <c r="J234" s="126">
        <v>3</v>
      </c>
      <c r="K234" s="126">
        <v>1</v>
      </c>
      <c r="L234" s="126">
        <v>2</v>
      </c>
      <c r="M234" s="127" t="s">
        <v>51</v>
      </c>
      <c r="N234" s="127" t="str">
        <f>VLOOKUP(M234,F386:G389,2,FALSE)</f>
        <v>Northeast</v>
      </c>
      <c r="O234" s="114"/>
    </row>
    <row r="235" spans="1:15" s="115" customFormat="1" ht="15.75">
      <c r="A235" s="113">
        <v>1533</v>
      </c>
      <c r="B235" s="118">
        <v>40064</v>
      </c>
      <c r="C235" s="119" t="s">
        <v>12</v>
      </c>
      <c r="D235" s="120">
        <v>45283</v>
      </c>
      <c r="E235" s="121">
        <f t="shared" si="3"/>
        <v>21.770673076923078</v>
      </c>
      <c r="F235" s="122">
        <f>YEARFRAC(B235,F9)</f>
        <v>5.3138888888888891</v>
      </c>
      <c r="G235" s="123">
        <v>12</v>
      </c>
      <c r="H235" s="124">
        <v>36</v>
      </c>
      <c r="I235" s="125"/>
      <c r="J235" s="126">
        <v>3</v>
      </c>
      <c r="K235" s="126">
        <v>1</v>
      </c>
      <c r="L235" s="126">
        <v>1</v>
      </c>
      <c r="M235" s="127" t="s">
        <v>51</v>
      </c>
      <c r="N235" s="127" t="str">
        <f>VLOOKUP(M235,F386:G389,2,FALSE)</f>
        <v>Northeast</v>
      </c>
      <c r="O235" s="114"/>
    </row>
    <row r="236" spans="1:15" ht="15.75">
      <c r="A236" s="62">
        <v>1539</v>
      </c>
      <c r="B236" s="118">
        <v>40064</v>
      </c>
      <c r="C236" s="119" t="s">
        <v>12</v>
      </c>
      <c r="D236" s="120">
        <v>18102</v>
      </c>
      <c r="E236" s="121">
        <f t="shared" si="3"/>
        <v>8.7028846153846153</v>
      </c>
      <c r="F236" s="122">
        <f>YEARFRAC(B236,F9)</f>
        <v>5.3138888888888891</v>
      </c>
      <c r="G236" s="123">
        <v>14</v>
      </c>
      <c r="H236" s="124">
        <v>21</v>
      </c>
      <c r="I236" s="125"/>
      <c r="J236" s="126">
        <v>3</v>
      </c>
      <c r="K236" s="126">
        <v>1</v>
      </c>
      <c r="L236" s="126">
        <v>2</v>
      </c>
      <c r="M236" s="127" t="s">
        <v>52</v>
      </c>
      <c r="N236" s="127" t="str">
        <f>VLOOKUP(M236,F386:G389,2,FALSE)</f>
        <v>Midwest</v>
      </c>
    </row>
    <row r="237" spans="1:15" ht="15.75">
      <c r="A237" s="62">
        <v>1541</v>
      </c>
      <c r="B237" s="118">
        <v>40068</v>
      </c>
      <c r="C237" s="119" t="s">
        <v>12</v>
      </c>
      <c r="D237" s="120">
        <v>69128</v>
      </c>
      <c r="E237" s="121">
        <f t="shared" si="3"/>
        <v>33.234615384615381</v>
      </c>
      <c r="F237" s="122">
        <f>YEARFRAC(B237,F9)</f>
        <v>5.302777777777778</v>
      </c>
      <c r="G237" s="123">
        <v>12</v>
      </c>
      <c r="H237" s="124">
        <v>36</v>
      </c>
      <c r="I237" s="125"/>
      <c r="J237" s="126">
        <v>3</v>
      </c>
      <c r="K237" s="126">
        <v>1</v>
      </c>
      <c r="L237" s="126">
        <v>1</v>
      </c>
      <c r="M237" s="127" t="s">
        <v>52</v>
      </c>
      <c r="N237" s="127" t="str">
        <f>VLOOKUP(M237,F386:G389,2,FALSE)</f>
        <v>Midwest</v>
      </c>
    </row>
    <row r="238" spans="1:15" ht="15.75">
      <c r="A238" s="62">
        <v>1543</v>
      </c>
      <c r="B238" s="118">
        <v>40071</v>
      </c>
      <c r="C238" s="119" t="s">
        <v>12</v>
      </c>
      <c r="D238" s="120">
        <v>35002</v>
      </c>
      <c r="E238" s="121">
        <f t="shared" si="3"/>
        <v>16.827884615384615</v>
      </c>
      <c r="F238" s="122">
        <f>YEARFRAC(B238,F9)</f>
        <v>5.2944444444444443</v>
      </c>
      <c r="G238" s="123">
        <v>12</v>
      </c>
      <c r="H238" s="124">
        <v>30</v>
      </c>
      <c r="I238" s="125"/>
      <c r="J238" s="126">
        <v>3</v>
      </c>
      <c r="K238" s="126">
        <v>1</v>
      </c>
      <c r="L238" s="126">
        <v>2</v>
      </c>
      <c r="M238" s="127" t="s">
        <v>52</v>
      </c>
      <c r="N238" s="127" t="str">
        <f>VLOOKUP(M238,F386:G389,2,FALSE)</f>
        <v>Midwest</v>
      </c>
    </row>
    <row r="239" spans="1:15" ht="15.75">
      <c r="A239" s="62">
        <v>1550</v>
      </c>
      <c r="B239" s="118">
        <v>40076</v>
      </c>
      <c r="C239" s="119" t="s">
        <v>12</v>
      </c>
      <c r="D239" s="120">
        <v>55067</v>
      </c>
      <c r="E239" s="121">
        <f t="shared" si="3"/>
        <v>26.474519230769232</v>
      </c>
      <c r="F239" s="122">
        <f>YEARFRAC(B239,F9)</f>
        <v>5.2805555555555559</v>
      </c>
      <c r="G239" s="123">
        <v>16</v>
      </c>
      <c r="H239" s="124">
        <v>28</v>
      </c>
      <c r="I239" s="125"/>
      <c r="J239" s="126">
        <v>1</v>
      </c>
      <c r="K239" s="126">
        <v>2</v>
      </c>
      <c r="L239" s="126">
        <v>2</v>
      </c>
      <c r="M239" s="127" t="s">
        <v>52</v>
      </c>
      <c r="N239" s="127" t="str">
        <f>VLOOKUP(M239,F386:G389,2,FALSE)</f>
        <v>Midwest</v>
      </c>
    </row>
    <row r="240" spans="1:15" ht="15.75">
      <c r="A240" s="62">
        <v>1550</v>
      </c>
      <c r="B240" s="118">
        <v>40077</v>
      </c>
      <c r="C240" s="119" t="s">
        <v>12</v>
      </c>
      <c r="D240" s="120">
        <v>68317</v>
      </c>
      <c r="E240" s="121">
        <f t="shared" si="3"/>
        <v>32.844711538461539</v>
      </c>
      <c r="F240" s="122">
        <f>YEARFRAC(B240,F9)</f>
        <v>5.2777777777777777</v>
      </c>
      <c r="G240" s="123">
        <v>12</v>
      </c>
      <c r="H240" s="124">
        <v>33</v>
      </c>
      <c r="I240" s="125"/>
      <c r="J240" s="126">
        <v>3</v>
      </c>
      <c r="K240" s="126">
        <v>1</v>
      </c>
      <c r="L240" s="126">
        <v>1</v>
      </c>
      <c r="M240" s="127" t="s">
        <v>52</v>
      </c>
      <c r="N240" s="127" t="str">
        <f>VLOOKUP(M240,F386:G389,2,FALSE)</f>
        <v>Midwest</v>
      </c>
    </row>
    <row r="241" spans="1:15" s="115" customFormat="1" ht="15.75">
      <c r="A241" s="113">
        <v>1552</v>
      </c>
      <c r="B241" s="118">
        <v>40092</v>
      </c>
      <c r="C241" s="119" t="s">
        <v>12</v>
      </c>
      <c r="D241" s="120">
        <v>59316</v>
      </c>
      <c r="E241" s="121">
        <f t="shared" si="3"/>
        <v>28.517307692307693</v>
      </c>
      <c r="F241" s="122">
        <f>YEARFRAC(B241,F9)</f>
        <v>5.2361111111111107</v>
      </c>
      <c r="G241" s="123">
        <v>14</v>
      </c>
      <c r="H241" s="124">
        <v>53</v>
      </c>
      <c r="I241" s="125" t="str">
        <f>IF(F241&gt;=10,"Yes","No")</f>
        <v>No</v>
      </c>
      <c r="J241" s="126">
        <v>3</v>
      </c>
      <c r="K241" s="126">
        <v>1</v>
      </c>
      <c r="L241" s="126">
        <v>1</v>
      </c>
      <c r="M241" s="127" t="s">
        <v>51</v>
      </c>
      <c r="N241" s="127" t="str">
        <f>VLOOKUP(M241,F386:G389,2,FALSE)</f>
        <v>Northeast</v>
      </c>
      <c r="O241" s="114"/>
    </row>
    <row r="242" spans="1:15" ht="15.75">
      <c r="A242" s="62">
        <v>1553</v>
      </c>
      <c r="B242" s="118">
        <v>40092</v>
      </c>
      <c r="C242" s="119" t="s">
        <v>12</v>
      </c>
      <c r="D242" s="120">
        <v>38398</v>
      </c>
      <c r="E242" s="121">
        <f t="shared" si="3"/>
        <v>18.460576923076925</v>
      </c>
      <c r="F242" s="122">
        <f>YEARFRAC(B242,F9)</f>
        <v>5.2361111111111107</v>
      </c>
      <c r="G242" s="123">
        <v>12</v>
      </c>
      <c r="H242" s="124">
        <v>33</v>
      </c>
      <c r="I242" s="125"/>
      <c r="J242" s="126">
        <v>1</v>
      </c>
      <c r="K242" s="126">
        <v>1</v>
      </c>
      <c r="L242" s="126">
        <v>1</v>
      </c>
      <c r="M242" s="127" t="s">
        <v>48</v>
      </c>
      <c r="N242" s="127" t="str">
        <f>VLOOKUP(M242,F386:G389,2,FALSE)</f>
        <v>C-Plains</v>
      </c>
    </row>
    <row r="243" spans="1:15" s="115" customFormat="1" ht="15.75">
      <c r="A243" s="113">
        <v>1553</v>
      </c>
      <c r="B243" s="118">
        <v>40101</v>
      </c>
      <c r="C243" s="119" t="s">
        <v>12</v>
      </c>
      <c r="D243" s="120">
        <v>46097</v>
      </c>
      <c r="E243" s="121">
        <f t="shared" si="3"/>
        <v>22.162019230769232</v>
      </c>
      <c r="F243" s="122">
        <f>YEARFRAC(B243,F9)</f>
        <v>5.2111111111111112</v>
      </c>
      <c r="G243" s="123">
        <v>12</v>
      </c>
      <c r="H243" s="124">
        <v>38</v>
      </c>
      <c r="I243" s="125"/>
      <c r="J243" s="126">
        <v>3</v>
      </c>
      <c r="K243" s="126">
        <v>1</v>
      </c>
      <c r="L243" s="126">
        <v>1</v>
      </c>
      <c r="M243" s="127" t="s">
        <v>51</v>
      </c>
      <c r="N243" s="127" t="str">
        <f>VLOOKUP(M243,F386:G389,2,FALSE)</f>
        <v>Northeast</v>
      </c>
      <c r="O243" s="114"/>
    </row>
    <row r="244" spans="1:15" ht="15.75">
      <c r="A244" s="62">
        <v>1554</v>
      </c>
      <c r="B244" s="118">
        <v>40122</v>
      </c>
      <c r="C244" s="119" t="s">
        <v>12</v>
      </c>
      <c r="D244" s="120">
        <v>62458</v>
      </c>
      <c r="E244" s="121">
        <f t="shared" si="3"/>
        <v>30.027884615384615</v>
      </c>
      <c r="F244" s="122">
        <f>YEARFRAC(B244,F9)</f>
        <v>5.1555555555555559</v>
      </c>
      <c r="G244" s="123">
        <v>16</v>
      </c>
      <c r="H244" s="124">
        <v>26</v>
      </c>
      <c r="I244" s="125"/>
      <c r="J244" s="126">
        <v>2</v>
      </c>
      <c r="K244" s="126">
        <v>2</v>
      </c>
      <c r="L244" s="126">
        <v>2</v>
      </c>
      <c r="M244" s="127" t="s">
        <v>52</v>
      </c>
      <c r="N244" s="127" t="str">
        <f>VLOOKUP(M244,F386:G389,2,FALSE)</f>
        <v>Midwest</v>
      </c>
    </row>
    <row r="245" spans="1:15" ht="15.75">
      <c r="A245" s="62">
        <v>1554</v>
      </c>
      <c r="B245" s="118">
        <v>40130</v>
      </c>
      <c r="C245" s="119" t="s">
        <v>12</v>
      </c>
      <c r="D245" s="120">
        <v>50082</v>
      </c>
      <c r="E245" s="121">
        <f t="shared" si="3"/>
        <v>24.077884615384615</v>
      </c>
      <c r="F245" s="122">
        <f>YEARFRAC(B245,F9)</f>
        <v>5.1333333333333337</v>
      </c>
      <c r="G245" s="123">
        <v>12</v>
      </c>
      <c r="H245" s="124">
        <v>40</v>
      </c>
      <c r="I245" s="125"/>
      <c r="J245" s="126">
        <v>3</v>
      </c>
      <c r="K245" s="126">
        <v>1</v>
      </c>
      <c r="L245" s="126">
        <v>1</v>
      </c>
      <c r="M245" s="127" t="s">
        <v>48</v>
      </c>
      <c r="N245" s="127" t="str">
        <f>VLOOKUP(M245,F386:G389,2,FALSE)</f>
        <v>C-Plains</v>
      </c>
    </row>
    <row r="246" spans="1:15" s="115" customFormat="1" ht="15.75">
      <c r="A246" s="113">
        <v>1556</v>
      </c>
      <c r="B246" s="118">
        <v>40162</v>
      </c>
      <c r="C246" s="119" t="s">
        <v>12</v>
      </c>
      <c r="D246" s="120">
        <v>26466</v>
      </c>
      <c r="E246" s="121">
        <f t="shared" si="3"/>
        <v>12.724038461538461</v>
      </c>
      <c r="F246" s="122">
        <f>YEARFRAC(B246,F9)</f>
        <v>5.0444444444444443</v>
      </c>
      <c r="G246" s="123">
        <v>12</v>
      </c>
      <c r="H246" s="124">
        <v>27</v>
      </c>
      <c r="I246" s="125"/>
      <c r="J246" s="126">
        <v>4</v>
      </c>
      <c r="K246" s="126">
        <v>1</v>
      </c>
      <c r="L246" s="126">
        <v>2</v>
      </c>
      <c r="M246" s="127" t="s">
        <v>51</v>
      </c>
      <c r="N246" s="127" t="str">
        <f>VLOOKUP(M246,F386:G389,2,FALSE)</f>
        <v>Northeast</v>
      </c>
      <c r="O246" s="114"/>
    </row>
    <row r="247" spans="1:15" ht="15.75">
      <c r="A247" s="62">
        <v>1557</v>
      </c>
      <c r="B247" s="118">
        <v>40192</v>
      </c>
      <c r="C247" s="119" t="s">
        <v>12</v>
      </c>
      <c r="D247" s="120">
        <v>53537</v>
      </c>
      <c r="E247" s="121">
        <f t="shared" si="3"/>
        <v>25.738942307692309</v>
      </c>
      <c r="F247" s="122">
        <f>YEARFRAC(B247,F9)</f>
        <v>4.9638888888888886</v>
      </c>
      <c r="G247" s="123">
        <v>12</v>
      </c>
      <c r="H247" s="124">
        <v>46</v>
      </c>
      <c r="I247" s="125" t="str">
        <f>IF(F247&gt;=10,"Yes","No")</f>
        <v>No</v>
      </c>
      <c r="J247" s="126">
        <v>3</v>
      </c>
      <c r="K247" s="126">
        <v>1</v>
      </c>
      <c r="L247" s="126">
        <v>2</v>
      </c>
      <c r="M247" s="127" t="s">
        <v>48</v>
      </c>
      <c r="N247" s="127" t="str">
        <f>VLOOKUP(M247,F386:G389,2,FALSE)</f>
        <v>C-Plains</v>
      </c>
    </row>
    <row r="248" spans="1:15" s="115" customFormat="1" ht="15.75">
      <c r="A248" s="113">
        <v>1558</v>
      </c>
      <c r="B248" s="118">
        <v>40192</v>
      </c>
      <c r="C248" s="119" t="s">
        <v>12</v>
      </c>
      <c r="D248" s="120">
        <v>52946</v>
      </c>
      <c r="E248" s="121">
        <f t="shared" si="3"/>
        <v>25.454807692307693</v>
      </c>
      <c r="F248" s="122">
        <f>YEARFRAC(B248,F9)</f>
        <v>4.9638888888888886</v>
      </c>
      <c r="G248" s="123">
        <v>12</v>
      </c>
      <c r="H248" s="124">
        <v>45</v>
      </c>
      <c r="I248" s="125"/>
      <c r="J248" s="126">
        <v>2</v>
      </c>
      <c r="K248" s="126">
        <v>1</v>
      </c>
      <c r="L248" s="126">
        <v>1</v>
      </c>
      <c r="M248" s="127" t="s">
        <v>51</v>
      </c>
      <c r="N248" s="127" t="str">
        <f>VLOOKUP(M248,F386:G389,2,FALSE)</f>
        <v>Northeast</v>
      </c>
      <c r="O248" s="114"/>
    </row>
    <row r="249" spans="1:15" s="115" customFormat="1" ht="15.75">
      <c r="A249" s="113">
        <v>1560</v>
      </c>
      <c r="B249" s="118">
        <v>40192</v>
      </c>
      <c r="C249" s="119" t="s">
        <v>12</v>
      </c>
      <c r="D249" s="120">
        <v>18270</v>
      </c>
      <c r="E249" s="121">
        <f t="shared" si="3"/>
        <v>8.7836538461538467</v>
      </c>
      <c r="F249" s="122">
        <f>YEARFRAC(B249,F9)</f>
        <v>4.9638888888888886</v>
      </c>
      <c r="G249" s="123">
        <v>14</v>
      </c>
      <c r="H249" s="124">
        <v>21</v>
      </c>
      <c r="I249" s="125"/>
      <c r="J249" s="126">
        <v>3</v>
      </c>
      <c r="K249" s="126">
        <v>1</v>
      </c>
      <c r="L249" s="126">
        <v>2</v>
      </c>
      <c r="M249" s="127" t="s">
        <v>51</v>
      </c>
      <c r="N249" s="127" t="str">
        <f>VLOOKUP(M249,F387:G390,2,FALSE)</f>
        <v>Northeast</v>
      </c>
      <c r="O249" s="114"/>
    </row>
    <row r="250" spans="1:15" ht="15.75">
      <c r="A250" s="62">
        <v>1565</v>
      </c>
      <c r="B250" s="118">
        <v>40216</v>
      </c>
      <c r="C250" s="119" t="s">
        <v>12</v>
      </c>
      <c r="D250" s="120">
        <v>48712</v>
      </c>
      <c r="E250" s="121">
        <f t="shared" si="3"/>
        <v>23.419230769230769</v>
      </c>
      <c r="F250" s="122">
        <f>YEARFRAC(B250,F9)</f>
        <v>4.9000000000000004</v>
      </c>
      <c r="G250" s="123">
        <v>12</v>
      </c>
      <c r="H250" s="124">
        <v>38</v>
      </c>
      <c r="I250" s="125"/>
      <c r="J250" s="126">
        <v>3</v>
      </c>
      <c r="K250" s="126">
        <v>1</v>
      </c>
      <c r="L250" s="126">
        <v>1</v>
      </c>
      <c r="M250" s="127" t="s">
        <v>52</v>
      </c>
      <c r="N250" s="127" t="str">
        <f>VLOOKUP(M250,F388:G390,2,FALSE)</f>
        <v>Midwest</v>
      </c>
    </row>
    <row r="251" spans="1:15" ht="15.75">
      <c r="A251" s="62">
        <v>1568</v>
      </c>
      <c r="B251" s="118">
        <v>40217</v>
      </c>
      <c r="C251" s="119" t="s">
        <v>12</v>
      </c>
      <c r="D251" s="120">
        <v>32960</v>
      </c>
      <c r="E251" s="121">
        <f t="shared" si="3"/>
        <v>15.846153846153847</v>
      </c>
      <c r="F251" s="122">
        <f>YEARFRAC(B251,F9)</f>
        <v>4.8972222222222221</v>
      </c>
      <c r="G251" s="123">
        <v>12</v>
      </c>
      <c r="H251" s="124">
        <v>20</v>
      </c>
      <c r="I251" s="125"/>
      <c r="J251" s="126">
        <v>3</v>
      </c>
      <c r="K251" s="126">
        <v>2</v>
      </c>
      <c r="L251" s="126">
        <v>2</v>
      </c>
      <c r="M251" s="127" t="s">
        <v>52</v>
      </c>
      <c r="N251" s="127" t="str">
        <f>VLOOKUP(M251,F386:G389,2,FALSE)</f>
        <v>Midwest</v>
      </c>
    </row>
    <row r="252" spans="1:15" ht="15.75">
      <c r="A252" s="62">
        <v>1568</v>
      </c>
      <c r="B252" s="118">
        <v>40221</v>
      </c>
      <c r="C252" s="119" t="s">
        <v>12</v>
      </c>
      <c r="D252" s="120">
        <v>67771</v>
      </c>
      <c r="E252" s="121">
        <f t="shared" si="3"/>
        <v>32.582211538461536</v>
      </c>
      <c r="F252" s="122">
        <f>YEARFRAC(B252,F9)</f>
        <v>4.8861111111111111</v>
      </c>
      <c r="G252" s="123">
        <v>12</v>
      </c>
      <c r="H252" s="124">
        <v>32</v>
      </c>
      <c r="I252" s="125"/>
      <c r="J252" s="126">
        <v>1</v>
      </c>
      <c r="K252" s="126">
        <v>1</v>
      </c>
      <c r="L252" s="126">
        <v>2</v>
      </c>
      <c r="M252" s="127" t="s">
        <v>48</v>
      </c>
      <c r="N252" s="127" t="str">
        <f>VLOOKUP(M252,F387:G390,2,FALSE)</f>
        <v>C-Plains</v>
      </c>
    </row>
    <row r="253" spans="1:15" ht="15.75">
      <c r="A253" s="62">
        <v>1569</v>
      </c>
      <c r="B253" s="118">
        <v>40248</v>
      </c>
      <c r="C253" s="119" t="s">
        <v>12</v>
      </c>
      <c r="D253" s="120">
        <v>55254</v>
      </c>
      <c r="E253" s="121">
        <f t="shared" si="3"/>
        <v>26.564423076923077</v>
      </c>
      <c r="F253" s="122">
        <f>YEARFRAC(B253,F9)</f>
        <v>4.8055555555555554</v>
      </c>
      <c r="G253" s="123">
        <v>16</v>
      </c>
      <c r="H253" s="124">
        <v>42</v>
      </c>
      <c r="I253" s="125"/>
      <c r="J253" s="126">
        <v>3</v>
      </c>
      <c r="K253" s="126">
        <v>2</v>
      </c>
      <c r="L253" s="126">
        <v>2</v>
      </c>
      <c r="M253" s="127" t="s">
        <v>52</v>
      </c>
      <c r="N253" s="127" t="str">
        <f>VLOOKUP(M253,F388:G390,2,FALSE)</f>
        <v>Midwest</v>
      </c>
    </row>
    <row r="254" spans="1:15" s="115" customFormat="1" ht="15.75">
      <c r="A254" s="113">
        <v>1571</v>
      </c>
      <c r="B254" s="118">
        <v>40251</v>
      </c>
      <c r="C254" s="119" t="s">
        <v>12</v>
      </c>
      <c r="D254" s="120">
        <v>37917</v>
      </c>
      <c r="E254" s="121">
        <f t="shared" si="3"/>
        <v>18.229326923076922</v>
      </c>
      <c r="F254" s="122">
        <f>YEARFRAC(B254,F9)</f>
        <v>4.7972222222222225</v>
      </c>
      <c r="G254" s="123">
        <v>12</v>
      </c>
      <c r="H254" s="124">
        <v>33</v>
      </c>
      <c r="I254" s="125"/>
      <c r="J254" s="126">
        <v>4</v>
      </c>
      <c r="K254" s="126">
        <v>1</v>
      </c>
      <c r="L254" s="126">
        <v>2</v>
      </c>
      <c r="M254" s="127" t="s">
        <v>51</v>
      </c>
      <c r="N254" s="127" t="str">
        <f>VLOOKUP(M254,F386:G389,2,FALSE)</f>
        <v>Northeast</v>
      </c>
      <c r="O254" s="114"/>
    </row>
    <row r="255" spans="1:15" ht="15.75">
      <c r="A255" s="62">
        <v>1575</v>
      </c>
      <c r="B255" s="118">
        <v>40259</v>
      </c>
      <c r="C255" s="119" t="s">
        <v>12</v>
      </c>
      <c r="D255" s="120">
        <v>40629</v>
      </c>
      <c r="E255" s="121">
        <f t="shared" si="3"/>
        <v>19.533173076923077</v>
      </c>
      <c r="F255" s="122">
        <f>YEARFRAC(B255,F9)</f>
        <v>4.7750000000000004</v>
      </c>
      <c r="G255" s="123">
        <v>12</v>
      </c>
      <c r="H255" s="124">
        <v>34</v>
      </c>
      <c r="I255" s="125"/>
      <c r="J255" s="126">
        <v>3</v>
      </c>
      <c r="K255" s="126">
        <v>1</v>
      </c>
      <c r="L255" s="126">
        <v>1</v>
      </c>
      <c r="M255" s="127" t="s">
        <v>52</v>
      </c>
      <c r="N255" s="127" t="str">
        <f>VLOOKUP(M255,F387:G390,2,FALSE)</f>
        <v>Midwest</v>
      </c>
    </row>
    <row r="256" spans="1:15" ht="15.75">
      <c r="A256" s="62">
        <v>1579</v>
      </c>
      <c r="B256" s="118">
        <v>40262</v>
      </c>
      <c r="C256" s="119" t="s">
        <v>12</v>
      </c>
      <c r="D256" s="120">
        <v>52580</v>
      </c>
      <c r="E256" s="121">
        <f t="shared" si="3"/>
        <v>25.278846153846153</v>
      </c>
      <c r="F256" s="122">
        <f>YEARFRAC(B256,F9)</f>
        <v>4.7666666666666666</v>
      </c>
      <c r="G256" s="123">
        <v>12</v>
      </c>
      <c r="H256" s="124">
        <v>45</v>
      </c>
      <c r="I256" s="125"/>
      <c r="J256" s="126">
        <v>1</v>
      </c>
      <c r="K256" s="126">
        <v>1</v>
      </c>
      <c r="L256" s="126">
        <v>1</v>
      </c>
      <c r="M256" s="127" t="s">
        <v>52</v>
      </c>
      <c r="N256" s="127" t="str">
        <f>VLOOKUP(M256,F388:G390,2,FALSE)</f>
        <v>Midwest</v>
      </c>
    </row>
    <row r="257" spans="1:15" s="115" customFormat="1" ht="15.75">
      <c r="A257" s="113">
        <v>1580</v>
      </c>
      <c r="B257" s="118">
        <v>40271</v>
      </c>
      <c r="C257" s="119" t="s">
        <v>12</v>
      </c>
      <c r="D257" s="120">
        <v>23342</v>
      </c>
      <c r="E257" s="121">
        <f t="shared" si="3"/>
        <v>11.222115384615385</v>
      </c>
      <c r="F257" s="122">
        <f>YEARFRAC(B257,F9)</f>
        <v>4.7444444444444445</v>
      </c>
      <c r="G257" s="123">
        <v>12</v>
      </c>
      <c r="H257" s="124">
        <v>22</v>
      </c>
      <c r="I257" s="125"/>
      <c r="J257" s="126">
        <v>3</v>
      </c>
      <c r="K257" s="126">
        <v>1</v>
      </c>
      <c r="L257" s="126">
        <v>2</v>
      </c>
      <c r="M257" s="127" t="s">
        <v>51</v>
      </c>
      <c r="N257" s="127" t="str">
        <f>VLOOKUP(M257,F386:G389,2,FALSE)</f>
        <v>Northeast</v>
      </c>
      <c r="O257" s="114"/>
    </row>
    <row r="258" spans="1:15" s="115" customFormat="1" ht="15.75">
      <c r="A258" s="113">
        <v>1584</v>
      </c>
      <c r="B258" s="118">
        <v>40283</v>
      </c>
      <c r="C258" s="119" t="s">
        <v>12</v>
      </c>
      <c r="D258" s="120">
        <v>60239</v>
      </c>
      <c r="E258" s="121">
        <f t="shared" si="3"/>
        <v>28.961057692307691</v>
      </c>
      <c r="F258" s="122">
        <f>YEARFRAC(B258,F9)</f>
        <v>4.7111111111111112</v>
      </c>
      <c r="G258" s="123">
        <v>16</v>
      </c>
      <c r="H258" s="124">
        <v>54</v>
      </c>
      <c r="I258" s="125" t="str">
        <f>IF(F258&gt;=10,"Yes","No")</f>
        <v>No</v>
      </c>
      <c r="J258" s="126">
        <v>1</v>
      </c>
      <c r="K258" s="126">
        <v>1</v>
      </c>
      <c r="L258" s="126">
        <v>2</v>
      </c>
      <c r="M258" s="127" t="s">
        <v>51</v>
      </c>
      <c r="N258" s="127" t="str">
        <f>VLOOKUP(M258,F387:G390,2,FALSE)</f>
        <v>Northeast</v>
      </c>
      <c r="O258" s="114"/>
    </row>
    <row r="259" spans="1:15" s="115" customFormat="1" ht="15.75">
      <c r="A259" s="113">
        <v>1588</v>
      </c>
      <c r="B259" s="118">
        <v>40291</v>
      </c>
      <c r="C259" s="119" t="s">
        <v>12</v>
      </c>
      <c r="D259" s="120">
        <v>55566</v>
      </c>
      <c r="E259" s="121">
        <f t="shared" si="3"/>
        <v>26.714423076923076</v>
      </c>
      <c r="F259" s="122">
        <f>YEARFRAC(B259,F9)</f>
        <v>4.6888888888888891</v>
      </c>
      <c r="G259" s="123">
        <v>12</v>
      </c>
      <c r="H259" s="124">
        <v>48</v>
      </c>
      <c r="I259" s="125" t="str">
        <f>IF(F259&gt;=10,"Yes","No")</f>
        <v>No</v>
      </c>
      <c r="J259" s="126">
        <v>2</v>
      </c>
      <c r="K259" s="126">
        <v>1</v>
      </c>
      <c r="L259" s="126">
        <v>1</v>
      </c>
      <c r="M259" s="127" t="s">
        <v>51</v>
      </c>
      <c r="N259" s="127" t="str">
        <f>VLOOKUP(M259,F386:G389,2,FALSE)</f>
        <v>Northeast</v>
      </c>
      <c r="O259" s="114"/>
    </row>
    <row r="260" spans="1:15" ht="15.75">
      <c r="A260" s="62">
        <v>1589</v>
      </c>
      <c r="B260" s="118">
        <v>40298</v>
      </c>
      <c r="C260" s="119" t="s">
        <v>12</v>
      </c>
      <c r="D260" s="120">
        <v>51233</v>
      </c>
      <c r="E260" s="121">
        <f t="shared" si="3"/>
        <v>24.631250000000001</v>
      </c>
      <c r="F260" s="122">
        <f>YEARFRAC(B260,F9)</f>
        <v>4.666666666666667</v>
      </c>
      <c r="G260" s="123">
        <v>16</v>
      </c>
      <c r="H260" s="124">
        <v>25</v>
      </c>
      <c r="I260" s="125"/>
      <c r="J260" s="126">
        <v>3</v>
      </c>
      <c r="K260" s="126">
        <v>2</v>
      </c>
      <c r="L260" s="126">
        <v>2</v>
      </c>
      <c r="M260" s="127" t="s">
        <v>52</v>
      </c>
      <c r="N260" s="127" t="str">
        <f>VLOOKUP(M260,F387:G390,2,FALSE)</f>
        <v>Midwest</v>
      </c>
    </row>
    <row r="261" spans="1:15" ht="15.75">
      <c r="A261" s="62">
        <v>1591</v>
      </c>
      <c r="B261" s="118">
        <v>40336</v>
      </c>
      <c r="C261" s="119" t="s">
        <v>12</v>
      </c>
      <c r="D261" s="120">
        <v>43213</v>
      </c>
      <c r="E261" s="121">
        <f t="shared" si="3"/>
        <v>20.775480769230768</v>
      </c>
      <c r="F261" s="122">
        <f>YEARFRAC(B261,F9)</f>
        <v>4.5666666666666664</v>
      </c>
      <c r="G261" s="123">
        <v>12</v>
      </c>
      <c r="H261" s="124">
        <v>35</v>
      </c>
      <c r="I261" s="125"/>
      <c r="J261" s="126">
        <v>3</v>
      </c>
      <c r="K261" s="126">
        <v>1</v>
      </c>
      <c r="L261" s="126">
        <v>1</v>
      </c>
      <c r="M261" s="127" t="s">
        <v>52</v>
      </c>
      <c r="N261" s="127" t="str">
        <f>VLOOKUP(M261,F388:G390,2,FALSE)</f>
        <v>Midwest</v>
      </c>
    </row>
    <row r="262" spans="1:15" ht="15.75">
      <c r="A262" s="62">
        <v>1593</v>
      </c>
      <c r="B262" s="118">
        <v>40339</v>
      </c>
      <c r="C262" s="119" t="s">
        <v>12</v>
      </c>
      <c r="D262" s="120">
        <v>47891</v>
      </c>
      <c r="E262" s="121">
        <f t="shared" si="3"/>
        <v>23.024519230769229</v>
      </c>
      <c r="F262" s="122">
        <f>YEARFRAC(B262,F9)</f>
        <v>4.5583333333333336</v>
      </c>
      <c r="G262" s="123">
        <v>12</v>
      </c>
      <c r="H262" s="124">
        <v>38</v>
      </c>
      <c r="I262" s="125"/>
      <c r="J262" s="126">
        <v>1</v>
      </c>
      <c r="K262" s="126">
        <v>2</v>
      </c>
      <c r="L262" s="126">
        <v>1</v>
      </c>
      <c r="M262" s="127" t="s">
        <v>48</v>
      </c>
      <c r="N262" s="127" t="str">
        <f>VLOOKUP(M262,F389:G390,2,FALSE)</f>
        <v>C-Plains</v>
      </c>
    </row>
    <row r="263" spans="1:15" s="115" customFormat="1" ht="15.75">
      <c r="A263" s="113">
        <v>1596</v>
      </c>
      <c r="B263" s="118">
        <v>40341</v>
      </c>
      <c r="C263" s="119" t="s">
        <v>12</v>
      </c>
      <c r="D263" s="120">
        <v>131276</v>
      </c>
      <c r="E263" s="121">
        <f t="shared" si="3"/>
        <v>63.113461538461536</v>
      </c>
      <c r="F263" s="122">
        <f>YEARFRAC(B263,F9)</f>
        <v>4.552777777777778</v>
      </c>
      <c r="G263" s="123">
        <v>19</v>
      </c>
      <c r="H263" s="124">
        <v>42</v>
      </c>
      <c r="I263" s="125"/>
      <c r="J263" s="126">
        <v>3</v>
      </c>
      <c r="K263" s="126">
        <v>1</v>
      </c>
      <c r="L263" s="126">
        <v>2</v>
      </c>
      <c r="M263" s="127" t="s">
        <v>51</v>
      </c>
      <c r="N263" s="127" t="str">
        <f>VLOOKUP(M263,F386:G389,2,FALSE)</f>
        <v>Northeast</v>
      </c>
      <c r="O263" s="114"/>
    </row>
    <row r="264" spans="1:15" ht="15.75">
      <c r="A264" s="62">
        <v>1597</v>
      </c>
      <c r="B264" s="118">
        <v>40351</v>
      </c>
      <c r="C264" s="119" t="s">
        <v>12</v>
      </c>
      <c r="D264" s="120">
        <v>70293</v>
      </c>
      <c r="E264" s="121">
        <f t="shared" si="3"/>
        <v>33.794711538461542</v>
      </c>
      <c r="F264" s="122">
        <f>YEARFRAC(B264,F9)</f>
        <v>4.5250000000000004</v>
      </c>
      <c r="G264" s="123">
        <v>16</v>
      </c>
      <c r="H264" s="124">
        <v>34</v>
      </c>
      <c r="I264" s="125"/>
      <c r="J264" s="126">
        <v>3</v>
      </c>
      <c r="K264" s="126">
        <v>1</v>
      </c>
      <c r="L264" s="126">
        <v>1</v>
      </c>
      <c r="M264" s="127" t="s">
        <v>52</v>
      </c>
      <c r="N264" s="127" t="str">
        <f>VLOOKUP(M264,F387:G390,2,FALSE)</f>
        <v>Midwest</v>
      </c>
    </row>
    <row r="265" spans="1:15" s="115" customFormat="1" ht="15.75">
      <c r="A265" s="113">
        <v>1598</v>
      </c>
      <c r="B265" s="118">
        <v>40359</v>
      </c>
      <c r="C265" s="119" t="s">
        <v>12</v>
      </c>
      <c r="D265" s="120">
        <v>29661</v>
      </c>
      <c r="E265" s="121">
        <f t="shared" si="3"/>
        <v>14.260096153846154</v>
      </c>
      <c r="F265" s="122">
        <f>YEARFRAC(B265,F9)</f>
        <v>4.5</v>
      </c>
      <c r="G265" s="123">
        <v>12</v>
      </c>
      <c r="H265" s="124">
        <v>19</v>
      </c>
      <c r="I265" s="125"/>
      <c r="J265" s="126">
        <v>3</v>
      </c>
      <c r="K265" s="126">
        <v>1</v>
      </c>
      <c r="L265" s="126">
        <v>2</v>
      </c>
      <c r="M265" s="127" t="s">
        <v>51</v>
      </c>
      <c r="N265" s="127" t="str">
        <f>VLOOKUP(M265,F386:G389,2,FALSE)</f>
        <v>Northeast</v>
      </c>
      <c r="O265" s="114"/>
    </row>
    <row r="266" spans="1:15" ht="15.75">
      <c r="A266" s="62">
        <v>1608</v>
      </c>
      <c r="B266" s="118">
        <v>40368</v>
      </c>
      <c r="C266" s="119" t="s">
        <v>12</v>
      </c>
      <c r="D266" s="120">
        <v>75375</v>
      </c>
      <c r="E266" s="121">
        <f t="shared" si="3"/>
        <v>36.237980769230766</v>
      </c>
      <c r="F266" s="122">
        <f>YEARFRAC(B266,F9)</f>
        <v>4.4777777777777779</v>
      </c>
      <c r="G266" s="123">
        <v>16</v>
      </c>
      <c r="H266" s="124">
        <v>44</v>
      </c>
      <c r="I266" s="125" t="str">
        <f>IF(F266&gt;=10,"Yes","No")</f>
        <v>No</v>
      </c>
      <c r="J266" s="126">
        <v>3</v>
      </c>
      <c r="K266" s="126">
        <v>2</v>
      </c>
      <c r="L266" s="126">
        <v>1</v>
      </c>
      <c r="M266" s="127" t="s">
        <v>52</v>
      </c>
      <c r="N266" s="127" t="str">
        <f>VLOOKUP(M266,F387:G390,2,FALSE)</f>
        <v>Midwest</v>
      </c>
    </row>
    <row r="267" spans="1:15" s="115" customFormat="1" ht="15.75">
      <c r="A267" s="113">
        <v>1608</v>
      </c>
      <c r="B267" s="118">
        <v>40371</v>
      </c>
      <c r="C267" s="119" t="s">
        <v>12</v>
      </c>
      <c r="D267" s="120">
        <v>73258</v>
      </c>
      <c r="E267" s="121">
        <f t="shared" ref="E267:E330" si="4">D267/Annual_Hrs</f>
        <v>35.220192307692308</v>
      </c>
      <c r="F267" s="122">
        <f>YEARFRAC(B267,F9)</f>
        <v>4.4694444444444441</v>
      </c>
      <c r="G267" s="123">
        <v>19</v>
      </c>
      <c r="H267" s="124">
        <v>53</v>
      </c>
      <c r="I267" s="125"/>
      <c r="J267" s="126">
        <v>3</v>
      </c>
      <c r="K267" s="126">
        <v>1</v>
      </c>
      <c r="L267" s="126">
        <v>1</v>
      </c>
      <c r="M267" s="127" t="s">
        <v>51</v>
      </c>
      <c r="N267" s="127" t="str">
        <f>VLOOKUP(M267,F386:G389,2,FALSE)</f>
        <v>Northeast</v>
      </c>
      <c r="O267" s="114"/>
    </row>
    <row r="268" spans="1:15" ht="15.75">
      <c r="A268" s="62">
        <v>1609</v>
      </c>
      <c r="B268" s="118">
        <v>40398</v>
      </c>
      <c r="C268" s="119" t="s">
        <v>12</v>
      </c>
      <c r="D268" s="120">
        <v>33266</v>
      </c>
      <c r="E268" s="121">
        <f t="shared" si="4"/>
        <v>15.993269230769231</v>
      </c>
      <c r="F268" s="122">
        <f>YEARFRAC(B268,F9)</f>
        <v>4.3972222222222221</v>
      </c>
      <c r="G268" s="123">
        <v>12</v>
      </c>
      <c r="H268" s="124">
        <v>26</v>
      </c>
      <c r="I268" s="125"/>
      <c r="J268" s="126">
        <v>3</v>
      </c>
      <c r="K268" s="126">
        <v>1</v>
      </c>
      <c r="L268" s="126">
        <v>2</v>
      </c>
      <c r="M268" s="127" t="s">
        <v>48</v>
      </c>
      <c r="N268" s="127" t="str">
        <f>VLOOKUP(M268,F389:G390,2,FALSE)</f>
        <v>C-Plains</v>
      </c>
    </row>
    <row r="269" spans="1:15" s="115" customFormat="1" ht="15.75">
      <c r="A269" s="113">
        <v>1611</v>
      </c>
      <c r="B269" s="118">
        <v>40415</v>
      </c>
      <c r="C269" s="119" t="s">
        <v>12</v>
      </c>
      <c r="D269" s="120">
        <v>46378</v>
      </c>
      <c r="E269" s="121">
        <f t="shared" si="4"/>
        <v>22.297115384615385</v>
      </c>
      <c r="F269" s="122">
        <f>YEARFRAC(B269,F9)</f>
        <v>4.3499999999999996</v>
      </c>
      <c r="G269" s="123">
        <v>12</v>
      </c>
      <c r="H269" s="124">
        <v>38</v>
      </c>
      <c r="I269" s="125"/>
      <c r="J269" s="126">
        <v>3</v>
      </c>
      <c r="K269" s="126">
        <v>1</v>
      </c>
      <c r="L269" s="126">
        <v>1</v>
      </c>
      <c r="M269" s="127" t="s">
        <v>51</v>
      </c>
      <c r="N269" s="127" t="str">
        <f>VLOOKUP(M269,F386:G389,2,FALSE)</f>
        <v>Northeast</v>
      </c>
      <c r="O269" s="114"/>
    </row>
    <row r="270" spans="1:15" ht="15.75">
      <c r="A270" s="62">
        <v>1612</v>
      </c>
      <c r="B270" s="118">
        <v>40428</v>
      </c>
      <c r="C270" s="119" t="s">
        <v>12</v>
      </c>
      <c r="D270" s="120">
        <v>37800</v>
      </c>
      <c r="E270" s="121">
        <f t="shared" si="4"/>
        <v>18.173076923076923</v>
      </c>
      <c r="F270" s="122">
        <f>YEARFRAC(B270,F9)</f>
        <v>4.3166666666666664</v>
      </c>
      <c r="G270" s="123">
        <v>12</v>
      </c>
      <c r="H270" s="124">
        <v>25</v>
      </c>
      <c r="I270" s="125"/>
      <c r="J270" s="126">
        <v>2</v>
      </c>
      <c r="K270" s="126">
        <v>1</v>
      </c>
      <c r="L270" s="126">
        <v>1</v>
      </c>
      <c r="M270" s="127" t="s">
        <v>48</v>
      </c>
      <c r="N270" s="127" t="str">
        <f>VLOOKUP(M270,F387:G390,2,FALSE)</f>
        <v>C-Plains</v>
      </c>
    </row>
    <row r="271" spans="1:15" s="115" customFormat="1" ht="15.75">
      <c r="A271" s="113">
        <v>1613</v>
      </c>
      <c r="B271" s="118">
        <v>40436</v>
      </c>
      <c r="C271" s="119" t="s">
        <v>12</v>
      </c>
      <c r="D271" s="120">
        <v>32496</v>
      </c>
      <c r="E271" s="121">
        <f t="shared" si="4"/>
        <v>15.623076923076923</v>
      </c>
      <c r="F271" s="122">
        <f>YEARFRAC(B271,F9)</f>
        <v>4.2944444444444443</v>
      </c>
      <c r="G271" s="123">
        <v>12</v>
      </c>
      <c r="H271" s="124">
        <v>24</v>
      </c>
      <c r="I271" s="125"/>
      <c r="J271" s="126">
        <v>1</v>
      </c>
      <c r="K271" s="126">
        <v>1</v>
      </c>
      <c r="L271" s="126">
        <v>1</v>
      </c>
      <c r="M271" s="127" t="s">
        <v>51</v>
      </c>
      <c r="N271" s="127" t="str">
        <f>VLOOKUP(M271,F386:G389,2,FALSE)</f>
        <v>Northeast</v>
      </c>
      <c r="O271" s="114"/>
    </row>
    <row r="272" spans="1:15" s="115" customFormat="1" ht="15.75">
      <c r="A272" s="113">
        <v>1616</v>
      </c>
      <c r="B272" s="118">
        <v>40437</v>
      </c>
      <c r="C272" s="119" t="s">
        <v>12</v>
      </c>
      <c r="D272" s="120">
        <v>65027</v>
      </c>
      <c r="E272" s="121">
        <f t="shared" si="4"/>
        <v>31.262980769230769</v>
      </c>
      <c r="F272" s="122">
        <f>YEARFRAC(B272,F9)</f>
        <v>4.291666666666667</v>
      </c>
      <c r="G272" s="123">
        <v>16</v>
      </c>
      <c r="H272" s="124">
        <v>34</v>
      </c>
      <c r="I272" s="125"/>
      <c r="J272" s="126">
        <v>3</v>
      </c>
      <c r="K272" s="126">
        <v>2</v>
      </c>
      <c r="L272" s="126">
        <v>2</v>
      </c>
      <c r="M272" s="127" t="s">
        <v>51</v>
      </c>
      <c r="N272" s="127" t="str">
        <f>VLOOKUP(M272,F386:G389,2,FALSE)</f>
        <v>Northeast</v>
      </c>
      <c r="O272" s="114"/>
    </row>
    <row r="273" spans="1:15" ht="15.75">
      <c r="A273" s="62">
        <v>1616</v>
      </c>
      <c r="B273" s="118">
        <v>40438</v>
      </c>
      <c r="C273" s="119" t="s">
        <v>12</v>
      </c>
      <c r="D273" s="120">
        <v>86818</v>
      </c>
      <c r="E273" s="121">
        <f t="shared" si="4"/>
        <v>41.739423076923075</v>
      </c>
      <c r="F273" s="122">
        <f>YEARFRAC(B273,F9)</f>
        <v>4.2888888888888888</v>
      </c>
      <c r="G273" s="123">
        <v>19</v>
      </c>
      <c r="H273" s="124">
        <v>48</v>
      </c>
      <c r="I273" s="125"/>
      <c r="J273" s="126">
        <v>3</v>
      </c>
      <c r="K273" s="126">
        <v>1</v>
      </c>
      <c r="L273" s="126">
        <v>1</v>
      </c>
      <c r="M273" s="127" t="s">
        <v>48</v>
      </c>
      <c r="N273" s="127" t="str">
        <f>VLOOKUP(M273,F387:G390,2,FALSE)</f>
        <v>C-Plains</v>
      </c>
    </row>
    <row r="274" spans="1:15" ht="15.75">
      <c r="A274" s="62">
        <v>1619</v>
      </c>
      <c r="B274" s="118">
        <v>40439</v>
      </c>
      <c r="C274" s="119" t="s">
        <v>12</v>
      </c>
      <c r="D274" s="120">
        <v>45641</v>
      </c>
      <c r="E274" s="121">
        <f t="shared" si="4"/>
        <v>21.942788461538463</v>
      </c>
      <c r="F274" s="122">
        <f>YEARFRAC(B274,F9)</f>
        <v>4.2861111111111114</v>
      </c>
      <c r="G274" s="123">
        <v>12</v>
      </c>
      <c r="H274" s="124">
        <v>36</v>
      </c>
      <c r="I274" s="125"/>
      <c r="J274" s="126">
        <v>3</v>
      </c>
      <c r="K274" s="126">
        <v>1</v>
      </c>
      <c r="L274" s="126">
        <v>1</v>
      </c>
      <c r="M274" s="127" t="s">
        <v>48</v>
      </c>
      <c r="N274" s="127" t="str">
        <f>VLOOKUP(M274,F388:G390,2,FALSE)</f>
        <v>C-Plains</v>
      </c>
    </row>
    <row r="275" spans="1:15" ht="15.75">
      <c r="A275" s="62">
        <v>1620</v>
      </c>
      <c r="B275" s="118">
        <v>40440</v>
      </c>
      <c r="C275" s="119" t="s">
        <v>12</v>
      </c>
      <c r="D275" s="120">
        <v>15248</v>
      </c>
      <c r="E275" s="121">
        <f t="shared" si="4"/>
        <v>7.3307692307692305</v>
      </c>
      <c r="F275" s="122">
        <f>YEARFRAC(B275,F9)</f>
        <v>4.2833333333333332</v>
      </c>
      <c r="G275" s="123">
        <v>12</v>
      </c>
      <c r="H275" s="124">
        <v>18</v>
      </c>
      <c r="I275" s="125"/>
      <c r="J275" s="126">
        <v>1</v>
      </c>
      <c r="K275" s="126">
        <v>2</v>
      </c>
      <c r="L275" s="126">
        <v>2</v>
      </c>
      <c r="M275" s="127" t="s">
        <v>48</v>
      </c>
      <c r="N275" s="127" t="str">
        <f>VLOOKUP(M275,F389:G390,2,FALSE)</f>
        <v>C-Plains</v>
      </c>
    </row>
    <row r="276" spans="1:15" s="115" customFormat="1" ht="15.75">
      <c r="A276" s="113">
        <v>1622</v>
      </c>
      <c r="B276" s="118">
        <v>40463</v>
      </c>
      <c r="C276" s="119" t="s">
        <v>12</v>
      </c>
      <c r="D276" s="120">
        <v>33047</v>
      </c>
      <c r="E276" s="121">
        <f t="shared" si="4"/>
        <v>15.887980769230769</v>
      </c>
      <c r="F276" s="122">
        <f>YEARFRAC(B276,F9)</f>
        <v>4.2194444444444441</v>
      </c>
      <c r="G276" s="123">
        <v>12</v>
      </c>
      <c r="H276" s="124">
        <v>21</v>
      </c>
      <c r="I276" s="125"/>
      <c r="J276" s="126">
        <v>3</v>
      </c>
      <c r="K276" s="126">
        <v>2</v>
      </c>
      <c r="L276" s="126">
        <v>2</v>
      </c>
      <c r="M276" s="127" t="s">
        <v>51</v>
      </c>
      <c r="N276" s="127" t="str">
        <f>VLOOKUP(M276,F386:G389,2,FALSE)</f>
        <v>Northeast</v>
      </c>
      <c r="O276" s="114"/>
    </row>
    <row r="277" spans="1:15" ht="15.75">
      <c r="A277" s="62">
        <v>1623</v>
      </c>
      <c r="B277" s="118">
        <v>40469</v>
      </c>
      <c r="C277" s="119" t="s">
        <v>12</v>
      </c>
      <c r="D277" s="120">
        <v>64153</v>
      </c>
      <c r="E277" s="121">
        <f t="shared" si="4"/>
        <v>30.842788461538461</v>
      </c>
      <c r="F277" s="122">
        <f>YEARFRAC(B277,F9)</f>
        <v>4.2027777777777775</v>
      </c>
      <c r="G277" s="123">
        <v>16</v>
      </c>
      <c r="H277" s="124">
        <v>28</v>
      </c>
      <c r="I277" s="125"/>
      <c r="J277" s="126">
        <v>2</v>
      </c>
      <c r="K277" s="126">
        <v>1</v>
      </c>
      <c r="L277" s="126">
        <v>1</v>
      </c>
      <c r="M277" s="127" t="s">
        <v>52</v>
      </c>
      <c r="N277" s="127" t="str">
        <f>VLOOKUP(M277,F387:G390,2,FALSE)</f>
        <v>Midwest</v>
      </c>
    </row>
    <row r="278" spans="1:15" ht="15.75">
      <c r="A278" s="62">
        <v>1625</v>
      </c>
      <c r="B278" s="118">
        <v>40469</v>
      </c>
      <c r="C278" s="119" t="s">
        <v>12</v>
      </c>
      <c r="D278" s="120">
        <v>60346</v>
      </c>
      <c r="E278" s="121">
        <f t="shared" si="4"/>
        <v>29.012499999999999</v>
      </c>
      <c r="F278" s="122">
        <f>YEARFRAC(B278,F9)</f>
        <v>4.2027777777777775</v>
      </c>
      <c r="G278" s="123">
        <v>16</v>
      </c>
      <c r="H278" s="124">
        <v>31</v>
      </c>
      <c r="I278" s="125"/>
      <c r="J278" s="126">
        <v>3</v>
      </c>
      <c r="K278" s="126">
        <v>1</v>
      </c>
      <c r="L278" s="126">
        <v>1</v>
      </c>
      <c r="M278" s="127" t="s">
        <v>52</v>
      </c>
      <c r="N278" s="127" t="str">
        <f>VLOOKUP(M278,F388:G390,2,FALSE)</f>
        <v>Midwest</v>
      </c>
    </row>
    <row r="279" spans="1:15" ht="15.75">
      <c r="A279" s="62">
        <v>1626</v>
      </c>
      <c r="B279" s="118">
        <v>40474</v>
      </c>
      <c r="C279" s="119" t="s">
        <v>12</v>
      </c>
      <c r="D279" s="120">
        <v>19141</v>
      </c>
      <c r="E279" s="121">
        <f t="shared" si="4"/>
        <v>9.202403846153846</v>
      </c>
      <c r="F279" s="122">
        <f>YEARFRAC(B279,F9)</f>
        <v>4.1888888888888891</v>
      </c>
      <c r="G279" s="123">
        <v>14</v>
      </c>
      <c r="H279" s="124">
        <v>21</v>
      </c>
      <c r="I279" s="125"/>
      <c r="J279" s="126">
        <v>3</v>
      </c>
      <c r="K279" s="126">
        <v>2</v>
      </c>
      <c r="L279" s="126">
        <v>2</v>
      </c>
      <c r="M279" s="127" t="s">
        <v>48</v>
      </c>
      <c r="N279" s="127" t="str">
        <f>VLOOKUP(M279,F389:G390,2,FALSE)</f>
        <v>C-Plains</v>
      </c>
    </row>
    <row r="280" spans="1:15" ht="15.75">
      <c r="A280" s="62">
        <v>1629</v>
      </c>
      <c r="B280" s="118">
        <v>40502</v>
      </c>
      <c r="C280" s="119" t="s">
        <v>12</v>
      </c>
      <c r="D280" s="120">
        <v>35550</v>
      </c>
      <c r="E280" s="121">
        <f t="shared" si="4"/>
        <v>17.091346153846153</v>
      </c>
      <c r="F280" s="122">
        <f>YEARFRAC(B280,F9)</f>
        <v>4.1138888888888889</v>
      </c>
      <c r="G280" s="123">
        <v>12</v>
      </c>
      <c r="H280" s="124">
        <v>24</v>
      </c>
      <c r="I280" s="125"/>
      <c r="J280" s="126">
        <v>1</v>
      </c>
      <c r="K280" s="126">
        <v>1</v>
      </c>
      <c r="L280" s="126">
        <v>1</v>
      </c>
      <c r="M280" s="127" t="s">
        <v>52</v>
      </c>
      <c r="N280" s="127" t="str">
        <f>VLOOKUP(M280,F386:G389,2,FALSE)</f>
        <v>Midwest</v>
      </c>
    </row>
    <row r="281" spans="1:15" ht="15.75">
      <c r="A281" s="62">
        <v>1630</v>
      </c>
      <c r="B281" s="118">
        <v>40513</v>
      </c>
      <c r="C281" s="119" t="s">
        <v>12</v>
      </c>
      <c r="D281" s="120">
        <v>47650</v>
      </c>
      <c r="E281" s="121">
        <f t="shared" si="4"/>
        <v>22.908653846153847</v>
      </c>
      <c r="F281" s="122">
        <f>YEARFRAC(B281,F9)</f>
        <v>4.083333333333333</v>
      </c>
      <c r="G281" s="123">
        <v>12</v>
      </c>
      <c r="H281" s="124">
        <v>36</v>
      </c>
      <c r="I281" s="125"/>
      <c r="J281" s="126">
        <v>3</v>
      </c>
      <c r="K281" s="126">
        <v>1</v>
      </c>
      <c r="L281" s="126">
        <v>1</v>
      </c>
      <c r="M281" s="127" t="s">
        <v>52</v>
      </c>
      <c r="N281" s="127" t="str">
        <f>VLOOKUP(M281,F387:G390,2,FALSE)</f>
        <v>Midwest</v>
      </c>
    </row>
    <row r="282" spans="1:15" ht="15.75">
      <c r="A282" s="62">
        <v>1636</v>
      </c>
      <c r="B282" s="118">
        <v>40518</v>
      </c>
      <c r="C282" s="119" t="s">
        <v>12</v>
      </c>
      <c r="D282" s="120">
        <v>25671</v>
      </c>
      <c r="E282" s="121">
        <f t="shared" si="4"/>
        <v>12.341826923076923</v>
      </c>
      <c r="F282" s="122">
        <f>YEARFRAC(B282,F9)</f>
        <v>4.0694444444444446</v>
      </c>
      <c r="G282" s="123">
        <v>12</v>
      </c>
      <c r="H282" s="124">
        <v>24</v>
      </c>
      <c r="I282" s="125"/>
      <c r="J282" s="126">
        <v>4</v>
      </c>
      <c r="K282" s="126">
        <v>1</v>
      </c>
      <c r="L282" s="126">
        <v>1</v>
      </c>
      <c r="M282" s="127" t="s">
        <v>48</v>
      </c>
      <c r="N282" s="127" t="str">
        <f>VLOOKUP(M282,F388:G390,2,FALSE)</f>
        <v>C-Plains</v>
      </c>
    </row>
    <row r="283" spans="1:15" s="115" customFormat="1" ht="15.75">
      <c r="A283" s="113">
        <v>1637</v>
      </c>
      <c r="B283" s="135">
        <v>40558</v>
      </c>
      <c r="C283" s="119" t="s">
        <v>12</v>
      </c>
      <c r="D283" s="120">
        <v>64494</v>
      </c>
      <c r="E283" s="121">
        <f t="shared" si="4"/>
        <v>31.006730769230771</v>
      </c>
      <c r="F283" s="122">
        <f>YEARFRAC(B283,F9)</f>
        <v>3.9611111111111112</v>
      </c>
      <c r="G283" s="123">
        <v>16</v>
      </c>
      <c r="H283" s="124">
        <v>37</v>
      </c>
      <c r="I283" s="125"/>
      <c r="J283" s="126">
        <v>4</v>
      </c>
      <c r="K283" s="126">
        <v>1</v>
      </c>
      <c r="L283" s="126">
        <v>1</v>
      </c>
      <c r="M283" s="127" t="s">
        <v>51</v>
      </c>
      <c r="N283" s="127" t="str">
        <f>VLOOKUP(M283,F386:G389,2,FALSE)</f>
        <v>Northeast</v>
      </c>
      <c r="O283" s="114"/>
    </row>
    <row r="284" spans="1:15" ht="15.75">
      <c r="A284" s="62">
        <v>1638</v>
      </c>
      <c r="B284" s="118">
        <v>40577</v>
      </c>
      <c r="C284" s="119" t="s">
        <v>12</v>
      </c>
      <c r="D284" s="120">
        <v>46787</v>
      </c>
      <c r="E284" s="121">
        <f t="shared" si="4"/>
        <v>22.493749999999999</v>
      </c>
      <c r="F284" s="122">
        <f>YEARFRAC(B284,F9)</f>
        <v>3.911111111111111</v>
      </c>
      <c r="G284" s="123">
        <v>12</v>
      </c>
      <c r="H284" s="124">
        <v>38</v>
      </c>
      <c r="I284" s="125"/>
      <c r="J284" s="126">
        <v>3</v>
      </c>
      <c r="K284" s="126">
        <v>1</v>
      </c>
      <c r="L284" s="126">
        <v>2</v>
      </c>
      <c r="M284" s="127" t="s">
        <v>52</v>
      </c>
      <c r="N284" s="127" t="str">
        <f>VLOOKUP(M284,F386:G389,2,FALSE)</f>
        <v>Midwest</v>
      </c>
    </row>
    <row r="285" spans="1:15" s="115" customFormat="1" ht="15.75">
      <c r="A285" s="113">
        <v>1639</v>
      </c>
      <c r="B285" s="118">
        <v>40578</v>
      </c>
      <c r="C285" s="119" t="s">
        <v>12</v>
      </c>
      <c r="D285" s="120">
        <v>31567</v>
      </c>
      <c r="E285" s="121">
        <f t="shared" si="4"/>
        <v>15.176442307692307</v>
      </c>
      <c r="F285" s="122">
        <f>YEARFRAC(B285,F9)</f>
        <v>3.9083333333333332</v>
      </c>
      <c r="G285" s="123">
        <v>12</v>
      </c>
      <c r="H285" s="124">
        <v>23</v>
      </c>
      <c r="I285" s="125"/>
      <c r="J285" s="126">
        <v>1</v>
      </c>
      <c r="K285" s="126">
        <v>1</v>
      </c>
      <c r="L285" s="126">
        <v>2</v>
      </c>
      <c r="M285" s="127" t="s">
        <v>51</v>
      </c>
      <c r="N285" s="127" t="str">
        <f>VLOOKUP(M285,F386:G389,2,FALSE)</f>
        <v>Northeast</v>
      </c>
      <c r="O285" s="114"/>
    </row>
    <row r="286" spans="1:15" s="115" customFormat="1" ht="15.75">
      <c r="A286" s="113">
        <v>1640</v>
      </c>
      <c r="B286" s="118">
        <v>40596</v>
      </c>
      <c r="C286" s="119" t="s">
        <v>12</v>
      </c>
      <c r="D286" s="120">
        <v>77045</v>
      </c>
      <c r="E286" s="121">
        <f t="shared" si="4"/>
        <v>37.040865384615387</v>
      </c>
      <c r="F286" s="122">
        <f>YEARFRAC(B286,F9)</f>
        <v>3.8583333333333334</v>
      </c>
      <c r="G286" s="123">
        <v>16</v>
      </c>
      <c r="H286" s="124">
        <v>42</v>
      </c>
      <c r="I286" s="125"/>
      <c r="J286" s="126">
        <v>3</v>
      </c>
      <c r="K286" s="126">
        <v>1</v>
      </c>
      <c r="L286" s="126">
        <v>1</v>
      </c>
      <c r="M286" s="127" t="s">
        <v>51</v>
      </c>
      <c r="N286" s="127" t="str">
        <f>VLOOKUP(M286,F386:G389,2,FALSE)</f>
        <v>Northeast</v>
      </c>
      <c r="O286" s="114"/>
    </row>
    <row r="287" spans="1:15" s="115" customFormat="1" ht="15.75">
      <c r="A287" s="113">
        <v>1644</v>
      </c>
      <c r="B287" s="118">
        <v>40608</v>
      </c>
      <c r="C287" s="119" t="s">
        <v>12</v>
      </c>
      <c r="D287" s="120">
        <v>17598</v>
      </c>
      <c r="E287" s="121">
        <f t="shared" si="4"/>
        <v>8.460576923076923</v>
      </c>
      <c r="F287" s="122">
        <f>YEARFRAC(B287,F9)</f>
        <v>3.8194444444444446</v>
      </c>
      <c r="G287" s="123">
        <v>12</v>
      </c>
      <c r="H287" s="124">
        <v>19</v>
      </c>
      <c r="I287" s="125"/>
      <c r="J287" s="126">
        <v>3</v>
      </c>
      <c r="K287" s="126">
        <v>1</v>
      </c>
      <c r="L287" s="126">
        <v>2</v>
      </c>
      <c r="M287" s="127" t="s">
        <v>51</v>
      </c>
      <c r="N287" s="127" t="str">
        <f>VLOOKUP(M287,F387:G390,2,FALSE)</f>
        <v>Northeast</v>
      </c>
      <c r="O287" s="114"/>
    </row>
    <row r="288" spans="1:15" ht="15.75">
      <c r="A288" s="62">
        <v>1654</v>
      </c>
      <c r="B288" s="118">
        <v>40637</v>
      </c>
      <c r="C288" s="119" t="s">
        <v>12</v>
      </c>
      <c r="D288" s="120">
        <v>79709</v>
      </c>
      <c r="E288" s="121">
        <f t="shared" si="4"/>
        <v>38.321634615384617</v>
      </c>
      <c r="F288" s="122">
        <f>YEARFRAC(B288,F9)</f>
        <v>3.7416666666666667</v>
      </c>
      <c r="G288" s="123">
        <v>16</v>
      </c>
      <c r="H288" s="124">
        <v>35</v>
      </c>
      <c r="I288" s="125"/>
      <c r="J288" s="126">
        <v>3</v>
      </c>
      <c r="K288" s="126">
        <v>2</v>
      </c>
      <c r="L288" s="126">
        <v>1</v>
      </c>
      <c r="M288" s="127" t="s">
        <v>48</v>
      </c>
      <c r="N288" s="127" t="str">
        <f>VLOOKUP(M288,F388:G390,2,FALSE)</f>
        <v>C-Plains</v>
      </c>
    </row>
    <row r="289" spans="1:15" s="115" customFormat="1" ht="15.75">
      <c r="A289" s="113">
        <v>1658</v>
      </c>
      <c r="B289" s="118">
        <v>40645</v>
      </c>
      <c r="C289" s="119" t="s">
        <v>12</v>
      </c>
      <c r="D289" s="120">
        <v>32300</v>
      </c>
      <c r="E289" s="121">
        <f t="shared" si="4"/>
        <v>15.528846153846153</v>
      </c>
      <c r="F289" s="122">
        <f>YEARFRAC(B289,F9)</f>
        <v>3.7194444444444446</v>
      </c>
      <c r="G289" s="123">
        <v>16</v>
      </c>
      <c r="H289" s="124">
        <v>33</v>
      </c>
      <c r="I289" s="125"/>
      <c r="J289" s="126">
        <v>1</v>
      </c>
      <c r="K289" s="126">
        <v>2</v>
      </c>
      <c r="L289" s="126">
        <v>2</v>
      </c>
      <c r="M289" s="127" t="s">
        <v>51</v>
      </c>
      <c r="N289" s="127" t="str">
        <f>VLOOKUP(M289,F386:G389,2,FALSE)</f>
        <v>Northeast</v>
      </c>
      <c r="O289" s="114"/>
    </row>
    <row r="290" spans="1:15" ht="15.75">
      <c r="A290" s="62">
        <v>1659</v>
      </c>
      <c r="B290" s="118">
        <v>40666</v>
      </c>
      <c r="C290" s="119" t="s">
        <v>12</v>
      </c>
      <c r="D290" s="120">
        <v>49925</v>
      </c>
      <c r="E290" s="121">
        <f t="shared" si="4"/>
        <v>24.002403846153847</v>
      </c>
      <c r="F290" s="122">
        <f>YEARFRAC(B290,F9)</f>
        <v>3.661111111111111</v>
      </c>
      <c r="G290" s="123">
        <v>12</v>
      </c>
      <c r="H290" s="124">
        <v>40</v>
      </c>
      <c r="I290" s="125"/>
      <c r="J290" s="126">
        <v>1</v>
      </c>
      <c r="K290" s="126">
        <v>1</v>
      </c>
      <c r="L290" s="126">
        <v>2</v>
      </c>
      <c r="M290" s="127" t="s">
        <v>48</v>
      </c>
      <c r="N290" s="127" t="str">
        <f>VLOOKUP(M290,F387:G390,2,FALSE)</f>
        <v>C-Plains</v>
      </c>
    </row>
    <row r="291" spans="1:15" s="115" customFormat="1" ht="15.75">
      <c r="A291" s="113">
        <v>1660</v>
      </c>
      <c r="B291" s="118">
        <v>40667</v>
      </c>
      <c r="C291" s="119" t="s">
        <v>12</v>
      </c>
      <c r="D291" s="120">
        <v>34420</v>
      </c>
      <c r="E291" s="121">
        <f t="shared" si="4"/>
        <v>16.548076923076923</v>
      </c>
      <c r="F291" s="122">
        <f>YEARFRAC(B291,F9)</f>
        <v>3.6583333333333332</v>
      </c>
      <c r="G291" s="123">
        <v>12</v>
      </c>
      <c r="H291" s="124">
        <v>28</v>
      </c>
      <c r="I291" s="125"/>
      <c r="J291" s="126">
        <v>1</v>
      </c>
      <c r="K291" s="126">
        <v>2</v>
      </c>
      <c r="L291" s="126">
        <v>1</v>
      </c>
      <c r="M291" s="127" t="s">
        <v>51</v>
      </c>
      <c r="N291" s="127" t="str">
        <f>VLOOKUP(M291,F386:G389,2,FALSE)</f>
        <v>Northeast</v>
      </c>
      <c r="O291" s="114"/>
    </row>
    <row r="292" spans="1:15" ht="15.75">
      <c r="A292" s="62">
        <v>1661</v>
      </c>
      <c r="B292" s="118">
        <v>40670</v>
      </c>
      <c r="C292" s="119" t="s">
        <v>12</v>
      </c>
      <c r="D292" s="120">
        <v>52300</v>
      </c>
      <c r="E292" s="121">
        <f t="shared" si="4"/>
        <v>25.14423076923077</v>
      </c>
      <c r="F292" s="122">
        <f>YEARFRAC(B292,F9)</f>
        <v>3.65</v>
      </c>
      <c r="G292" s="123">
        <v>16</v>
      </c>
      <c r="H292" s="124">
        <v>28</v>
      </c>
      <c r="I292" s="125"/>
      <c r="J292" s="126">
        <v>3</v>
      </c>
      <c r="K292" s="126">
        <v>2</v>
      </c>
      <c r="L292" s="126">
        <v>1</v>
      </c>
      <c r="M292" s="127" t="s">
        <v>52</v>
      </c>
      <c r="N292" s="127" t="str">
        <f>VLOOKUP(M292,F387:G390,2,FALSE)</f>
        <v>Midwest</v>
      </c>
    </row>
    <row r="293" spans="1:15" ht="15.75">
      <c r="A293" s="62">
        <v>1661</v>
      </c>
      <c r="B293" s="118">
        <v>40684</v>
      </c>
      <c r="C293" s="119" t="s">
        <v>12</v>
      </c>
      <c r="D293" s="120">
        <v>34456</v>
      </c>
      <c r="E293" s="121">
        <f t="shared" si="4"/>
        <v>16.565384615384616</v>
      </c>
      <c r="F293" s="122">
        <f>YEARFRAC(B293,F9)</f>
        <v>3.6111111111111112</v>
      </c>
      <c r="G293" s="123">
        <v>12</v>
      </c>
      <c r="H293" s="124">
        <v>23</v>
      </c>
      <c r="I293" s="125"/>
      <c r="J293" s="126">
        <v>1</v>
      </c>
      <c r="K293" s="126">
        <v>2</v>
      </c>
      <c r="L293" s="126">
        <v>2</v>
      </c>
      <c r="M293" s="127" t="s">
        <v>48</v>
      </c>
      <c r="N293" s="127" t="str">
        <f>VLOOKUP(M293,F388:G390,2,FALSE)</f>
        <v>C-Plains</v>
      </c>
    </row>
    <row r="294" spans="1:15" s="115" customFormat="1" ht="15.75">
      <c r="A294" s="113">
        <v>1667</v>
      </c>
      <c r="B294" s="118">
        <v>40684</v>
      </c>
      <c r="C294" s="119" t="s">
        <v>12</v>
      </c>
      <c r="D294" s="120">
        <v>86096</v>
      </c>
      <c r="E294" s="121">
        <f t="shared" si="4"/>
        <v>41.392307692307689</v>
      </c>
      <c r="F294" s="122">
        <f>YEARFRAC(B294,F9)</f>
        <v>3.6111111111111112</v>
      </c>
      <c r="G294" s="123">
        <v>16</v>
      </c>
      <c r="H294" s="124">
        <v>40</v>
      </c>
      <c r="I294" s="125"/>
      <c r="J294" s="126">
        <v>3</v>
      </c>
      <c r="K294" s="126">
        <v>1</v>
      </c>
      <c r="L294" s="126">
        <v>1</v>
      </c>
      <c r="M294" s="127" t="s">
        <v>51</v>
      </c>
      <c r="N294" s="127" t="str">
        <f>VLOOKUP(M294,F386:G389,2,FALSE)</f>
        <v>Northeast</v>
      </c>
      <c r="O294" s="114"/>
    </row>
    <row r="295" spans="1:15" s="115" customFormat="1" ht="15.75">
      <c r="A295" s="113">
        <v>1667</v>
      </c>
      <c r="B295" s="118">
        <v>40686</v>
      </c>
      <c r="C295" s="119" t="s">
        <v>12</v>
      </c>
      <c r="D295" s="120">
        <v>51554</v>
      </c>
      <c r="E295" s="121">
        <f t="shared" si="4"/>
        <v>24.785576923076924</v>
      </c>
      <c r="F295" s="122">
        <f>YEARFRAC(B295,F9)</f>
        <v>3.6055555555555556</v>
      </c>
      <c r="G295" s="123">
        <v>12</v>
      </c>
      <c r="H295" s="124">
        <v>44</v>
      </c>
      <c r="I295" s="125"/>
      <c r="J295" s="126">
        <v>3</v>
      </c>
      <c r="K295" s="126">
        <v>1</v>
      </c>
      <c r="L295" s="126">
        <v>1</v>
      </c>
      <c r="M295" s="127" t="s">
        <v>51</v>
      </c>
      <c r="N295" s="127" t="str">
        <f>VLOOKUP(M295,F386:G389,2,FALSE)</f>
        <v>Northeast</v>
      </c>
      <c r="O295" s="114"/>
    </row>
    <row r="296" spans="1:15" ht="15.75">
      <c r="A296" s="62">
        <v>1668</v>
      </c>
      <c r="B296" s="118">
        <v>40698</v>
      </c>
      <c r="C296" s="119" t="s">
        <v>12</v>
      </c>
      <c r="D296" s="120">
        <v>65089</v>
      </c>
      <c r="E296" s="121">
        <f t="shared" si="4"/>
        <v>31.292788461538461</v>
      </c>
      <c r="F296" s="122">
        <f>YEARFRAC(B296,F9)</f>
        <v>3.5750000000000002</v>
      </c>
      <c r="G296" s="123">
        <v>16</v>
      </c>
      <c r="H296" s="124">
        <f>21+14</f>
        <v>35</v>
      </c>
      <c r="I296" s="125" t="str">
        <f>IF(F296&gt;=10,"Yes","No")</f>
        <v>No</v>
      </c>
      <c r="J296" s="126">
        <v>3</v>
      </c>
      <c r="K296" s="126">
        <v>1</v>
      </c>
      <c r="L296" s="126">
        <v>1</v>
      </c>
      <c r="M296" s="127" t="s">
        <v>52</v>
      </c>
      <c r="N296" s="127" t="str">
        <f>VLOOKUP(M296,F386:G389,2,FALSE)</f>
        <v>Midwest</v>
      </c>
    </row>
    <row r="297" spans="1:15" s="115" customFormat="1" ht="15.75">
      <c r="A297" s="113">
        <v>1668</v>
      </c>
      <c r="B297" s="118">
        <v>40701</v>
      </c>
      <c r="C297" s="119" t="s">
        <v>12</v>
      </c>
      <c r="D297" s="120">
        <v>35688</v>
      </c>
      <c r="E297" s="121">
        <f t="shared" si="4"/>
        <v>17.157692307692308</v>
      </c>
      <c r="F297" s="122">
        <f>YEARFRAC(B297,F9)</f>
        <v>3.5666666666666669</v>
      </c>
      <c r="G297" s="123">
        <v>12</v>
      </c>
      <c r="H297" s="124">
        <v>32</v>
      </c>
      <c r="I297" s="125"/>
      <c r="J297" s="126">
        <v>4</v>
      </c>
      <c r="K297" s="126">
        <v>1</v>
      </c>
      <c r="L297" s="126">
        <v>2</v>
      </c>
      <c r="M297" s="127" t="s">
        <v>51</v>
      </c>
      <c r="N297" s="127" t="str">
        <f>VLOOKUP(M297,F386:G389,2,FALSE)</f>
        <v>Northeast</v>
      </c>
      <c r="O297" s="114"/>
    </row>
    <row r="298" spans="1:15" s="115" customFormat="1" ht="15.75">
      <c r="A298" s="113">
        <v>1669</v>
      </c>
      <c r="B298" s="118">
        <v>40701</v>
      </c>
      <c r="C298" s="119" t="s">
        <v>12</v>
      </c>
      <c r="D298" s="120">
        <v>61882</v>
      </c>
      <c r="E298" s="121">
        <f t="shared" si="4"/>
        <v>29.750961538461539</v>
      </c>
      <c r="F298" s="122">
        <f>YEARFRAC(B298,F9)</f>
        <v>3.5666666666666669</v>
      </c>
      <c r="G298" s="123">
        <v>16</v>
      </c>
      <c r="H298" s="124">
        <v>32</v>
      </c>
      <c r="I298" s="125"/>
      <c r="J298" s="126">
        <v>3</v>
      </c>
      <c r="K298" s="126">
        <v>2</v>
      </c>
      <c r="L298" s="126">
        <v>1</v>
      </c>
      <c r="M298" s="127" t="s">
        <v>51</v>
      </c>
      <c r="N298" s="127" t="str">
        <f>VLOOKUP(M298,F386:G389,2,FALSE)</f>
        <v>Northeast</v>
      </c>
      <c r="O298" s="114"/>
    </row>
    <row r="299" spans="1:15" ht="15.75">
      <c r="A299" s="62">
        <v>1671</v>
      </c>
      <c r="B299" s="118">
        <v>40709</v>
      </c>
      <c r="C299" s="119" t="s">
        <v>12</v>
      </c>
      <c r="D299" s="120">
        <v>31809</v>
      </c>
      <c r="E299" s="121">
        <f t="shared" si="4"/>
        <v>15.292788461538462</v>
      </c>
      <c r="F299" s="122">
        <f>YEARFRAC(B299,F9)</f>
        <v>3.5444444444444443</v>
      </c>
      <c r="G299" s="123">
        <v>12</v>
      </c>
      <c r="H299" s="124">
        <v>23</v>
      </c>
      <c r="I299" s="125"/>
      <c r="J299" s="126">
        <v>3</v>
      </c>
      <c r="K299" s="126">
        <v>1</v>
      </c>
      <c r="L299" s="126">
        <v>1</v>
      </c>
      <c r="M299" s="127" t="s">
        <v>52</v>
      </c>
      <c r="N299" s="127" t="str">
        <f>VLOOKUP(M299,F387:G390,2,FALSE)</f>
        <v>Midwest</v>
      </c>
    </row>
    <row r="300" spans="1:15" ht="15.75">
      <c r="A300" s="62">
        <v>1672</v>
      </c>
      <c r="B300" s="118">
        <v>40728</v>
      </c>
      <c r="C300" s="119" t="s">
        <v>26</v>
      </c>
      <c r="D300" s="120">
        <v>96546</v>
      </c>
      <c r="E300" s="121">
        <f t="shared" si="4"/>
        <v>46.416346153846156</v>
      </c>
      <c r="F300" s="122">
        <f>YEARFRAC(B300,F9)</f>
        <v>3.4916666666666667</v>
      </c>
      <c r="G300" s="123">
        <v>12</v>
      </c>
      <c r="H300" s="124">
        <v>38</v>
      </c>
      <c r="I300" s="125"/>
      <c r="J300" s="126">
        <v>3</v>
      </c>
      <c r="K300" s="126">
        <v>1</v>
      </c>
      <c r="L300" s="126">
        <v>1</v>
      </c>
      <c r="M300" s="127" t="s">
        <v>52</v>
      </c>
      <c r="N300" s="127" t="str">
        <f>VLOOKUP(M300,F388:G390,2,FALSE)</f>
        <v>Midwest</v>
      </c>
    </row>
    <row r="301" spans="1:15" ht="15.75">
      <c r="A301" s="62">
        <v>1673</v>
      </c>
      <c r="B301" s="118">
        <v>40732</v>
      </c>
      <c r="C301" s="119" t="s">
        <v>26</v>
      </c>
      <c r="D301" s="120">
        <v>67415</v>
      </c>
      <c r="E301" s="121">
        <f t="shared" si="4"/>
        <v>32.411057692307693</v>
      </c>
      <c r="F301" s="122">
        <f>YEARFRAC(B301,F9)</f>
        <v>3.4805555555555556</v>
      </c>
      <c r="G301" s="123">
        <v>16</v>
      </c>
      <c r="H301" s="124">
        <v>35</v>
      </c>
      <c r="I301" s="125"/>
      <c r="J301" s="126">
        <v>3</v>
      </c>
      <c r="K301" s="126">
        <v>2</v>
      </c>
      <c r="L301" s="126">
        <v>1</v>
      </c>
      <c r="M301" s="127" t="s">
        <v>52</v>
      </c>
      <c r="N301" s="127" t="str">
        <f>VLOOKUP(M301,F386:G389,2,FALSE)</f>
        <v>Midwest</v>
      </c>
    </row>
    <row r="302" spans="1:15" s="115" customFormat="1" ht="15.75">
      <c r="A302" s="113">
        <v>1679</v>
      </c>
      <c r="B302" s="118">
        <v>40744</v>
      </c>
      <c r="C302" s="119" t="s">
        <v>26</v>
      </c>
      <c r="D302" s="120">
        <v>66109</v>
      </c>
      <c r="E302" s="121">
        <f t="shared" si="4"/>
        <v>31.783173076923077</v>
      </c>
      <c r="F302" s="122">
        <f>YEARFRAC(B302,F9)</f>
        <v>3.4472222222222224</v>
      </c>
      <c r="G302" s="123">
        <v>16</v>
      </c>
      <c r="H302" s="124">
        <v>39</v>
      </c>
      <c r="I302" s="125"/>
      <c r="J302" s="126">
        <v>3</v>
      </c>
      <c r="K302" s="126">
        <v>1</v>
      </c>
      <c r="L302" s="126">
        <v>1</v>
      </c>
      <c r="M302" s="127" t="s">
        <v>51</v>
      </c>
      <c r="N302" s="127" t="str">
        <f>VLOOKUP(M302,F386:G389,2,FALSE)</f>
        <v>Northeast</v>
      </c>
      <c r="O302" s="114"/>
    </row>
    <row r="303" spans="1:15" ht="15.75">
      <c r="A303" s="62">
        <v>1680</v>
      </c>
      <c r="B303" s="118">
        <v>40757</v>
      </c>
      <c r="C303" s="119" t="s">
        <v>26</v>
      </c>
      <c r="D303" s="120">
        <v>51226</v>
      </c>
      <c r="E303" s="121">
        <f t="shared" si="4"/>
        <v>24.627884615384616</v>
      </c>
      <c r="F303" s="122">
        <f>YEARFRAC(B303,F9)</f>
        <v>3.4138888888888888</v>
      </c>
      <c r="G303" s="123">
        <v>16</v>
      </c>
      <c r="H303" s="124">
        <v>24</v>
      </c>
      <c r="I303" s="125"/>
      <c r="J303" s="126">
        <v>1</v>
      </c>
      <c r="K303" s="126">
        <v>1</v>
      </c>
      <c r="L303" s="126">
        <v>2</v>
      </c>
      <c r="M303" s="127" t="s">
        <v>52</v>
      </c>
      <c r="N303" s="127" t="str">
        <f>VLOOKUP(M303,F387:G390,2,FALSE)</f>
        <v>Midwest</v>
      </c>
    </row>
    <row r="304" spans="1:15" ht="15.75">
      <c r="A304" s="62">
        <v>1687</v>
      </c>
      <c r="B304" s="118">
        <v>40772</v>
      </c>
      <c r="C304" s="119" t="s">
        <v>26</v>
      </c>
      <c r="D304" s="120">
        <v>27541</v>
      </c>
      <c r="E304" s="121">
        <f t="shared" si="4"/>
        <v>13.240865384615384</v>
      </c>
      <c r="F304" s="122">
        <f>YEARFRAC(B304,F9)</f>
        <v>3.3722222222222222</v>
      </c>
      <c r="G304" s="123">
        <v>14</v>
      </c>
      <c r="H304" s="124">
        <v>30</v>
      </c>
      <c r="I304" s="125"/>
      <c r="J304" s="126">
        <v>1</v>
      </c>
      <c r="K304" s="126">
        <v>1</v>
      </c>
      <c r="L304" s="126">
        <v>1</v>
      </c>
      <c r="M304" s="127" t="s">
        <v>48</v>
      </c>
      <c r="N304" s="127" t="str">
        <f>VLOOKUP(M304,F388:G390,2,FALSE)</f>
        <v>C-Plains</v>
      </c>
    </row>
    <row r="305" spans="1:15" ht="15.75">
      <c r="A305" s="62">
        <v>1687</v>
      </c>
      <c r="B305" s="118">
        <v>40772</v>
      </c>
      <c r="C305" s="119" t="s">
        <v>17</v>
      </c>
      <c r="D305" s="120">
        <v>53784</v>
      </c>
      <c r="E305" s="121">
        <f t="shared" si="4"/>
        <v>25.857692307692307</v>
      </c>
      <c r="F305" s="122">
        <f>YEARFRAC(B305,F9)</f>
        <v>3.3722222222222222</v>
      </c>
      <c r="G305" s="123">
        <v>12</v>
      </c>
      <c r="H305" s="124">
        <v>46</v>
      </c>
      <c r="I305" s="125" t="str">
        <f>IF(F305&gt;=10,"Yes","No")</f>
        <v>No</v>
      </c>
      <c r="J305" s="126">
        <v>3</v>
      </c>
      <c r="K305" s="126">
        <v>1</v>
      </c>
      <c r="L305" s="126">
        <v>1</v>
      </c>
      <c r="M305" s="127" t="s">
        <v>52</v>
      </c>
      <c r="N305" s="127" t="str">
        <f>VLOOKUP(M305,F386:G389,2,FALSE)</f>
        <v>Midwest</v>
      </c>
    </row>
    <row r="306" spans="1:15" s="115" customFormat="1" ht="15.75">
      <c r="A306" s="113">
        <v>1693</v>
      </c>
      <c r="B306" s="118">
        <v>40772</v>
      </c>
      <c r="C306" s="119" t="s">
        <v>17</v>
      </c>
      <c r="D306" s="120">
        <v>93678</v>
      </c>
      <c r="E306" s="121">
        <f t="shared" si="4"/>
        <v>45.037500000000001</v>
      </c>
      <c r="F306" s="122">
        <f>YEARFRAC(B306,F9)</f>
        <v>3.3722222222222222</v>
      </c>
      <c r="G306" s="123">
        <v>19</v>
      </c>
      <c r="H306" s="124">
        <v>54</v>
      </c>
      <c r="I306" s="125" t="str">
        <f>IF(F306&gt;=10,"Yes","No")</f>
        <v>No</v>
      </c>
      <c r="J306" s="126">
        <v>3</v>
      </c>
      <c r="K306" s="126">
        <v>1</v>
      </c>
      <c r="L306" s="126">
        <v>1</v>
      </c>
      <c r="M306" s="127" t="s">
        <v>51</v>
      </c>
      <c r="N306" s="127" t="str">
        <f>VLOOKUP(M306,F386:G389,2,FALSE)</f>
        <v>Northeast</v>
      </c>
      <c r="O306" s="114"/>
    </row>
    <row r="307" spans="1:15" ht="15.75">
      <c r="A307" s="62">
        <v>1709</v>
      </c>
      <c r="B307" s="118">
        <v>40774</v>
      </c>
      <c r="C307" s="119" t="s">
        <v>17</v>
      </c>
      <c r="D307" s="120">
        <v>50522</v>
      </c>
      <c r="E307" s="121">
        <f t="shared" si="4"/>
        <v>24.289423076923075</v>
      </c>
      <c r="F307" s="122">
        <f>YEARFRAC(B307,F9)</f>
        <v>3.3666666666666667</v>
      </c>
      <c r="G307" s="123">
        <v>12</v>
      </c>
      <c r="H307" s="124">
        <v>43</v>
      </c>
      <c r="I307" s="125"/>
      <c r="J307" s="126">
        <v>1</v>
      </c>
      <c r="K307" s="126">
        <v>1</v>
      </c>
      <c r="L307" s="126">
        <v>1</v>
      </c>
      <c r="M307" s="127" t="s">
        <v>52</v>
      </c>
      <c r="N307" s="127" t="str">
        <f>VLOOKUP(M307,F387:G390,2,FALSE)</f>
        <v>Midwest</v>
      </c>
    </row>
    <row r="308" spans="1:15" s="115" customFormat="1" ht="15.75">
      <c r="A308" s="113">
        <v>1723</v>
      </c>
      <c r="B308" s="118">
        <v>40790</v>
      </c>
      <c r="C308" s="119" t="s">
        <v>17</v>
      </c>
      <c r="D308" s="120">
        <v>19397</v>
      </c>
      <c r="E308" s="121">
        <f t="shared" si="4"/>
        <v>9.3254807692307686</v>
      </c>
      <c r="F308" s="122">
        <f>YEARFRAC(B308,F9)</f>
        <v>3.3250000000000002</v>
      </c>
      <c r="G308" s="123">
        <v>14</v>
      </c>
      <c r="H308" s="124">
        <v>21</v>
      </c>
      <c r="I308" s="125"/>
      <c r="J308" s="126">
        <v>3</v>
      </c>
      <c r="K308" s="126">
        <v>1</v>
      </c>
      <c r="L308" s="126">
        <v>2</v>
      </c>
      <c r="M308" s="127" t="s">
        <v>51</v>
      </c>
      <c r="N308" s="127" t="str">
        <f>VLOOKUP(M308,F386:G389,2,FALSE)</f>
        <v>Northeast</v>
      </c>
      <c r="O308" s="114"/>
    </row>
    <row r="309" spans="1:15" s="115" customFormat="1" ht="15.75">
      <c r="A309" s="113">
        <v>1723</v>
      </c>
      <c r="B309" s="118">
        <v>40791</v>
      </c>
      <c r="C309" s="119" t="s">
        <v>17</v>
      </c>
      <c r="D309" s="120">
        <v>45495</v>
      </c>
      <c r="E309" s="121">
        <f t="shared" si="4"/>
        <v>21.872596153846153</v>
      </c>
      <c r="F309" s="122">
        <f>YEARFRAC(B309,F9)</f>
        <v>3.3222222222222224</v>
      </c>
      <c r="G309" s="123">
        <v>12</v>
      </c>
      <c r="H309" s="124">
        <v>36</v>
      </c>
      <c r="I309" s="125"/>
      <c r="J309" s="126">
        <v>1</v>
      </c>
      <c r="K309" s="126">
        <v>1</v>
      </c>
      <c r="L309" s="126">
        <v>1</v>
      </c>
      <c r="M309" s="127" t="s">
        <v>51</v>
      </c>
      <c r="N309" s="127" t="str">
        <f>VLOOKUP(M309,F386:G389,2,FALSE)</f>
        <v>Northeast</v>
      </c>
      <c r="O309" s="114"/>
    </row>
    <row r="310" spans="1:15" s="115" customFormat="1" ht="15.75">
      <c r="A310" s="113">
        <v>1726</v>
      </c>
      <c r="B310" s="118">
        <v>40791</v>
      </c>
      <c r="C310" s="119" t="s">
        <v>30</v>
      </c>
      <c r="D310" s="120">
        <v>81159</v>
      </c>
      <c r="E310" s="121">
        <f t="shared" si="4"/>
        <v>39.018749999999997</v>
      </c>
      <c r="F310" s="122">
        <f>YEARFRAC(B310,F9)</f>
        <v>3.3222222222222224</v>
      </c>
      <c r="G310" s="123">
        <v>19</v>
      </c>
      <c r="H310" s="124">
        <v>56</v>
      </c>
      <c r="I310" s="125" t="str">
        <f>IF(F310&gt;=10,"Yes","No")</f>
        <v>No</v>
      </c>
      <c r="J310" s="126">
        <v>3</v>
      </c>
      <c r="K310" s="126">
        <v>1</v>
      </c>
      <c r="L310" s="126">
        <v>1</v>
      </c>
      <c r="M310" s="127" t="s">
        <v>51</v>
      </c>
      <c r="N310" s="127" t="str">
        <f>VLOOKUP(M310,F386:G389,2,FALSE)</f>
        <v>Northeast</v>
      </c>
      <c r="O310" s="114"/>
    </row>
    <row r="311" spans="1:15" s="115" customFormat="1" ht="15.75">
      <c r="A311" s="113">
        <v>1733</v>
      </c>
      <c r="B311" s="118">
        <v>40791</v>
      </c>
      <c r="C311" s="119" t="s">
        <v>30</v>
      </c>
      <c r="D311" s="120">
        <v>65780</v>
      </c>
      <c r="E311" s="121">
        <f t="shared" si="4"/>
        <v>31.625</v>
      </c>
      <c r="F311" s="122">
        <f>YEARFRAC(B311,F9)</f>
        <v>3.3222222222222224</v>
      </c>
      <c r="G311" s="123">
        <v>16</v>
      </c>
      <c r="H311" s="124">
        <v>32</v>
      </c>
      <c r="I311" s="125"/>
      <c r="J311" s="126">
        <v>1</v>
      </c>
      <c r="K311" s="126">
        <v>2</v>
      </c>
      <c r="L311" s="126">
        <v>1</v>
      </c>
      <c r="M311" s="127" t="s">
        <v>51</v>
      </c>
      <c r="N311" s="127" t="str">
        <f>VLOOKUP(M311,F386:G389,2,FALSE)</f>
        <v>Northeast</v>
      </c>
      <c r="O311" s="114"/>
    </row>
    <row r="312" spans="1:15" s="115" customFormat="1" ht="15.75">
      <c r="A312" s="113">
        <v>1736</v>
      </c>
      <c r="B312" s="118">
        <v>40809</v>
      </c>
      <c r="C312" s="119" t="s">
        <v>30</v>
      </c>
      <c r="D312" s="120">
        <v>27221</v>
      </c>
      <c r="E312" s="121">
        <f t="shared" si="4"/>
        <v>13.087019230769231</v>
      </c>
      <c r="F312" s="122">
        <f>YEARFRAC(B312,F9)</f>
        <v>3.2722222222222221</v>
      </c>
      <c r="G312" s="123">
        <v>12</v>
      </c>
      <c r="H312" s="124">
        <v>28</v>
      </c>
      <c r="I312" s="125"/>
      <c r="J312" s="126">
        <v>3</v>
      </c>
      <c r="K312" s="126">
        <v>2</v>
      </c>
      <c r="L312" s="126">
        <v>2</v>
      </c>
      <c r="M312" s="127" t="s">
        <v>51</v>
      </c>
      <c r="N312" s="127" t="str">
        <f>VLOOKUP(M312,F386:G389,2,FALSE)</f>
        <v>Northeast</v>
      </c>
      <c r="O312" s="114"/>
    </row>
    <row r="313" spans="1:15" ht="15.75">
      <c r="A313" s="62">
        <v>1736</v>
      </c>
      <c r="B313" s="118">
        <v>40819</v>
      </c>
      <c r="C313" s="119" t="s">
        <v>30</v>
      </c>
      <c r="D313" s="120">
        <v>39130</v>
      </c>
      <c r="E313" s="121">
        <f t="shared" si="4"/>
        <v>18.8125</v>
      </c>
      <c r="F313" s="122">
        <f>YEARFRAC(B313,F9)</f>
        <v>3.2444444444444445</v>
      </c>
      <c r="G313" s="123">
        <v>12</v>
      </c>
      <c r="H313" s="124">
        <v>33</v>
      </c>
      <c r="I313" s="125"/>
      <c r="J313" s="126">
        <v>3</v>
      </c>
      <c r="K313" s="126">
        <v>1</v>
      </c>
      <c r="L313" s="126">
        <v>2</v>
      </c>
      <c r="M313" s="127" t="s">
        <v>52</v>
      </c>
      <c r="N313" s="127" t="str">
        <f>VLOOKUP(M313,F387:G390,2,FALSE)</f>
        <v>Midwest</v>
      </c>
    </row>
    <row r="314" spans="1:15" s="115" customFormat="1" ht="15.75">
      <c r="A314" s="113">
        <v>1737</v>
      </c>
      <c r="B314" s="118">
        <v>40831</v>
      </c>
      <c r="C314" s="119" t="s">
        <v>30</v>
      </c>
      <c r="D314" s="120">
        <v>76188</v>
      </c>
      <c r="E314" s="121">
        <f t="shared" si="4"/>
        <v>36.628846153846155</v>
      </c>
      <c r="F314" s="122">
        <f>YEARFRAC(B314,F9)</f>
        <v>3.2111111111111112</v>
      </c>
      <c r="G314" s="123">
        <v>16</v>
      </c>
      <c r="H314" s="124">
        <v>52</v>
      </c>
      <c r="I314" s="125" t="str">
        <f>IF(F314&gt;=10,"Yes","No")</f>
        <v>No</v>
      </c>
      <c r="J314" s="126">
        <v>3</v>
      </c>
      <c r="K314" s="126">
        <v>1</v>
      </c>
      <c r="L314" s="126">
        <v>1</v>
      </c>
      <c r="M314" s="127" t="s">
        <v>51</v>
      </c>
      <c r="N314" s="127" t="str">
        <f>VLOOKUP(M314,F386:G389,2,FALSE)</f>
        <v>Northeast</v>
      </c>
      <c r="O314" s="114"/>
    </row>
    <row r="315" spans="1:15" ht="15.75">
      <c r="A315" s="62">
        <v>1741</v>
      </c>
      <c r="B315" s="118">
        <v>40832</v>
      </c>
      <c r="C315" s="119" t="s">
        <v>16</v>
      </c>
      <c r="D315" s="120">
        <v>39191</v>
      </c>
      <c r="E315" s="121">
        <f t="shared" si="4"/>
        <v>18.841826923076923</v>
      </c>
      <c r="F315" s="122">
        <f>YEARFRAC(B315,F9)</f>
        <v>3.2083333333333335</v>
      </c>
      <c r="G315" s="123">
        <v>12</v>
      </c>
      <c r="H315" s="124">
        <v>34</v>
      </c>
      <c r="I315" s="125"/>
      <c r="J315" s="126">
        <v>3</v>
      </c>
      <c r="K315" s="126">
        <v>1</v>
      </c>
      <c r="L315" s="126">
        <v>1</v>
      </c>
      <c r="M315" s="127" t="s">
        <v>52</v>
      </c>
      <c r="N315" s="127" t="str">
        <f>VLOOKUP(M315,F386:G389,2,FALSE)</f>
        <v>Midwest</v>
      </c>
    </row>
    <row r="316" spans="1:15" s="115" customFormat="1" ht="15.75">
      <c r="A316" s="113">
        <v>1744</v>
      </c>
      <c r="B316" s="118">
        <v>40862</v>
      </c>
      <c r="C316" s="119" t="s">
        <v>16</v>
      </c>
      <c r="D316" s="120">
        <v>110233</v>
      </c>
      <c r="E316" s="121">
        <f t="shared" si="4"/>
        <v>52.996634615384615</v>
      </c>
      <c r="F316" s="122">
        <f>YEARFRAC(B316,F9)</f>
        <v>3.1277777777777778</v>
      </c>
      <c r="G316" s="123">
        <v>19</v>
      </c>
      <c r="H316" s="124">
        <v>45</v>
      </c>
      <c r="I316" s="125"/>
      <c r="J316" s="126">
        <v>3</v>
      </c>
      <c r="K316" s="126">
        <v>1</v>
      </c>
      <c r="L316" s="126">
        <v>1</v>
      </c>
      <c r="M316" s="127" t="s">
        <v>51</v>
      </c>
      <c r="N316" s="127" t="str">
        <f>VLOOKUP(M316,F386:G389,2,FALSE)</f>
        <v>Northeast</v>
      </c>
      <c r="O316" s="114"/>
    </row>
    <row r="317" spans="1:15" ht="15.75">
      <c r="A317" s="62">
        <v>1744</v>
      </c>
      <c r="B317" s="118">
        <v>40865</v>
      </c>
      <c r="C317" s="119" t="s">
        <v>16</v>
      </c>
      <c r="D317" s="120">
        <v>28486</v>
      </c>
      <c r="E317" s="121">
        <f t="shared" si="4"/>
        <v>13.695192307692308</v>
      </c>
      <c r="F317" s="122">
        <f>YEARFRAC(B317,F9)</f>
        <v>3.1194444444444445</v>
      </c>
      <c r="G317" s="123">
        <v>12</v>
      </c>
      <c r="H317" s="124">
        <v>32</v>
      </c>
      <c r="I317" s="125"/>
      <c r="J317" s="126">
        <v>1</v>
      </c>
      <c r="K317" s="126">
        <v>1</v>
      </c>
      <c r="L317" s="126">
        <v>1</v>
      </c>
      <c r="M317" s="127" t="s">
        <v>48</v>
      </c>
      <c r="N317" s="127" t="str">
        <f>VLOOKUP(M317,F386:G389,2,FALSE)</f>
        <v>C-Plains</v>
      </c>
    </row>
    <row r="318" spans="1:15" ht="15.75">
      <c r="A318" s="62">
        <v>1744</v>
      </c>
      <c r="B318" s="118">
        <v>40867</v>
      </c>
      <c r="C318" s="119" t="s">
        <v>16</v>
      </c>
      <c r="D318" s="120">
        <v>45317</v>
      </c>
      <c r="E318" s="121">
        <f t="shared" si="4"/>
        <v>21.787019230769232</v>
      </c>
      <c r="F318" s="122">
        <f>YEARFRAC(B318,F9)</f>
        <v>3.1138888888888889</v>
      </c>
      <c r="G318" s="123">
        <v>12</v>
      </c>
      <c r="H318" s="124">
        <v>36</v>
      </c>
      <c r="I318" s="125"/>
      <c r="J318" s="126">
        <v>3</v>
      </c>
      <c r="K318" s="126">
        <v>1</v>
      </c>
      <c r="L318" s="126">
        <v>1</v>
      </c>
      <c r="M318" s="127" t="s">
        <v>48</v>
      </c>
      <c r="N318" s="127" t="str">
        <f>VLOOKUP(M318,F386:G389,2,FALSE)</f>
        <v>C-Plains</v>
      </c>
    </row>
    <row r="319" spans="1:15" s="115" customFormat="1" ht="15.75">
      <c r="A319" s="113">
        <v>1745</v>
      </c>
      <c r="B319" s="118">
        <v>40891</v>
      </c>
      <c r="C319" s="119" t="s">
        <v>16</v>
      </c>
      <c r="D319" s="120">
        <v>34196</v>
      </c>
      <c r="E319" s="121">
        <f t="shared" si="4"/>
        <v>16.440384615384616</v>
      </c>
      <c r="F319" s="122">
        <f>YEARFRAC(B319,F9)</f>
        <v>3.0472222222222221</v>
      </c>
      <c r="G319" s="123">
        <v>12</v>
      </c>
      <c r="H319" s="124">
        <v>28</v>
      </c>
      <c r="I319" s="125"/>
      <c r="J319" s="126">
        <v>4</v>
      </c>
      <c r="K319" s="126">
        <v>1</v>
      </c>
      <c r="L319" s="126">
        <v>1</v>
      </c>
      <c r="M319" s="127" t="s">
        <v>51</v>
      </c>
      <c r="N319" s="127" t="str">
        <f>VLOOKUP(M319,F386:G389,2,FALSE)</f>
        <v>Northeast</v>
      </c>
      <c r="O319" s="114"/>
    </row>
    <row r="320" spans="1:15" s="115" customFormat="1" ht="15.75">
      <c r="A320" s="113">
        <v>1748</v>
      </c>
      <c r="B320" s="118">
        <v>40916</v>
      </c>
      <c r="C320" s="119" t="s">
        <v>16</v>
      </c>
      <c r="D320" s="120">
        <v>68352</v>
      </c>
      <c r="E320" s="121">
        <f t="shared" si="4"/>
        <v>32.861538461538458</v>
      </c>
      <c r="F320" s="122">
        <f>YEARFRAC(B320,F9)</f>
        <v>2.9805555555555556</v>
      </c>
      <c r="G320" s="123">
        <v>16</v>
      </c>
      <c r="H320" s="124">
        <v>35</v>
      </c>
      <c r="I320" s="125"/>
      <c r="J320" s="126">
        <v>3</v>
      </c>
      <c r="K320" s="126">
        <v>2</v>
      </c>
      <c r="L320" s="126">
        <v>1</v>
      </c>
      <c r="M320" s="127" t="s">
        <v>51</v>
      </c>
      <c r="N320" s="127" t="str">
        <f>VLOOKUP(M320,F386:G389,2,FALSE)</f>
        <v>Northeast</v>
      </c>
      <c r="O320" s="114"/>
    </row>
    <row r="321" spans="1:15" ht="15.75">
      <c r="A321" s="62">
        <v>1749</v>
      </c>
      <c r="B321" s="118">
        <v>40923</v>
      </c>
      <c r="C321" s="119" t="s">
        <v>16</v>
      </c>
      <c r="D321" s="120">
        <v>82777</v>
      </c>
      <c r="E321" s="121">
        <f t="shared" si="4"/>
        <v>39.796634615384619</v>
      </c>
      <c r="F321" s="122">
        <f>YEARFRAC(B321,F9)</f>
        <v>2.9611111111111112</v>
      </c>
      <c r="G321" s="123">
        <v>12</v>
      </c>
      <c r="H321" s="124">
        <v>56</v>
      </c>
      <c r="I321" s="125" t="str">
        <f>IF(F321&gt;=10,"Yes","No")</f>
        <v>No</v>
      </c>
      <c r="J321" s="126">
        <v>1</v>
      </c>
      <c r="K321" s="126">
        <v>1</v>
      </c>
      <c r="L321" s="126">
        <v>2</v>
      </c>
      <c r="M321" s="127" t="s">
        <v>48</v>
      </c>
      <c r="N321" s="127" t="str">
        <f>VLOOKUP(M321,F386:G389,2,FALSE)</f>
        <v>C-Plains</v>
      </c>
    </row>
    <row r="322" spans="1:15" ht="15.75">
      <c r="A322" s="62">
        <v>1750</v>
      </c>
      <c r="B322" s="118">
        <v>40944</v>
      </c>
      <c r="C322" s="119" t="s">
        <v>16</v>
      </c>
      <c r="D322" s="120">
        <v>21828</v>
      </c>
      <c r="E322" s="121">
        <f t="shared" si="4"/>
        <v>10.49423076923077</v>
      </c>
      <c r="F322" s="122">
        <f>YEARFRAC(B322,F9)</f>
        <v>2.9055555555555554</v>
      </c>
      <c r="G322" s="123">
        <v>14</v>
      </c>
      <c r="H322" s="124">
        <v>22</v>
      </c>
      <c r="I322" s="125"/>
      <c r="J322" s="126">
        <v>3</v>
      </c>
      <c r="K322" s="126">
        <v>1</v>
      </c>
      <c r="L322" s="126">
        <v>2</v>
      </c>
      <c r="M322" s="127" t="s">
        <v>48</v>
      </c>
      <c r="N322" s="127" t="str">
        <f>VLOOKUP(M322,F386:G389,2,FALSE)</f>
        <v>C-Plains</v>
      </c>
    </row>
    <row r="323" spans="1:15" ht="15.75">
      <c r="A323" s="62">
        <v>1750</v>
      </c>
      <c r="B323" s="118">
        <v>40945</v>
      </c>
      <c r="C323" s="119" t="s">
        <v>16</v>
      </c>
      <c r="D323" s="120">
        <v>35536</v>
      </c>
      <c r="E323" s="121">
        <f t="shared" si="4"/>
        <v>17.084615384615386</v>
      </c>
      <c r="F323" s="122">
        <f>YEARFRAC(B323,F9)</f>
        <v>2.9027777777777777</v>
      </c>
      <c r="G323" s="123">
        <v>12</v>
      </c>
      <c r="H323" s="124">
        <v>31</v>
      </c>
      <c r="I323" s="125"/>
      <c r="J323" s="126">
        <v>1</v>
      </c>
      <c r="K323" s="126">
        <v>1</v>
      </c>
      <c r="L323" s="126">
        <v>1</v>
      </c>
      <c r="M323" s="127" t="s">
        <v>52</v>
      </c>
      <c r="N323" s="127" t="str">
        <f>VLOOKUP(M323,F386:G389,2,FALSE)</f>
        <v>Midwest</v>
      </c>
    </row>
    <row r="324" spans="1:15" s="115" customFormat="1" ht="15.75">
      <c r="A324" s="113">
        <v>1754</v>
      </c>
      <c r="B324" s="118">
        <v>40953</v>
      </c>
      <c r="C324" s="119" t="s">
        <v>16</v>
      </c>
      <c r="D324" s="120">
        <v>70507</v>
      </c>
      <c r="E324" s="121">
        <f t="shared" si="4"/>
        <v>33.897596153846152</v>
      </c>
      <c r="F324" s="122">
        <f>YEARFRAC(B324,F9)</f>
        <v>2.8805555555555555</v>
      </c>
      <c r="G324" s="123">
        <v>12</v>
      </c>
      <c r="H324" s="124">
        <v>48</v>
      </c>
      <c r="I324" s="125" t="str">
        <f>IF(F324&gt;=10,"Yes","No")</f>
        <v>No</v>
      </c>
      <c r="J324" s="126">
        <v>1</v>
      </c>
      <c r="K324" s="126">
        <v>1</v>
      </c>
      <c r="L324" s="126">
        <v>1</v>
      </c>
      <c r="M324" s="127" t="s">
        <v>51</v>
      </c>
      <c r="N324" s="127" t="str">
        <f>VLOOKUP(M324,F386:G389,2,FALSE)</f>
        <v>Northeast</v>
      </c>
      <c r="O324" s="114"/>
    </row>
    <row r="325" spans="1:15" s="115" customFormat="1" ht="15.75">
      <c r="A325" s="113">
        <v>1756</v>
      </c>
      <c r="B325" s="118">
        <v>40972</v>
      </c>
      <c r="C325" s="119" t="s">
        <v>16</v>
      </c>
      <c r="D325" s="120">
        <v>56888</v>
      </c>
      <c r="E325" s="121">
        <f t="shared" si="4"/>
        <v>27.35</v>
      </c>
      <c r="F325" s="122">
        <f>YEARFRAC(B325,F9)</f>
        <v>2.8250000000000002</v>
      </c>
      <c r="G325" s="123">
        <v>12</v>
      </c>
      <c r="H325" s="124">
        <v>50</v>
      </c>
      <c r="I325" s="125" t="str">
        <f>IF(F325&gt;=10,"Yes","No")</f>
        <v>No</v>
      </c>
      <c r="J325" s="126">
        <v>3</v>
      </c>
      <c r="K325" s="126">
        <v>1</v>
      </c>
      <c r="L325" s="126">
        <v>1</v>
      </c>
      <c r="M325" s="127" t="s">
        <v>51</v>
      </c>
      <c r="N325" s="127" t="str">
        <f>VLOOKUP(M325,F386:G389,2,FALSE)</f>
        <v>Northeast</v>
      </c>
      <c r="O325" s="114"/>
    </row>
    <row r="326" spans="1:15" s="115" customFormat="1" ht="15.75">
      <c r="A326" s="113">
        <v>1756</v>
      </c>
      <c r="B326" s="118">
        <v>41030</v>
      </c>
      <c r="C326" s="119" t="s">
        <v>16</v>
      </c>
      <c r="D326" s="120">
        <v>93478</v>
      </c>
      <c r="E326" s="121">
        <f t="shared" si="4"/>
        <v>44.941346153846155</v>
      </c>
      <c r="F326" s="122">
        <f>YEARFRAC(B326,F9)</f>
        <v>2.6666666666666665</v>
      </c>
      <c r="G326" s="123">
        <v>16</v>
      </c>
      <c r="H326" s="124">
        <v>42</v>
      </c>
      <c r="I326" s="125"/>
      <c r="J326" s="126">
        <v>3</v>
      </c>
      <c r="K326" s="126">
        <v>1</v>
      </c>
      <c r="L326" s="126">
        <v>1</v>
      </c>
      <c r="M326" s="127" t="s">
        <v>51</v>
      </c>
      <c r="N326" s="127" t="str">
        <f>VLOOKUP(M326,F386:G389,2,FALSE)</f>
        <v>Northeast</v>
      </c>
      <c r="O326" s="114"/>
    </row>
    <row r="327" spans="1:15" s="115" customFormat="1" ht="15.75">
      <c r="A327" s="113">
        <v>1757</v>
      </c>
      <c r="B327" s="118">
        <v>41031</v>
      </c>
      <c r="C327" s="119" t="s">
        <v>16</v>
      </c>
      <c r="D327" s="120">
        <v>55840</v>
      </c>
      <c r="E327" s="121">
        <f t="shared" si="4"/>
        <v>26.846153846153847</v>
      </c>
      <c r="F327" s="122">
        <f>YEARFRAC(B327,F9)</f>
        <v>2.6638888888888888</v>
      </c>
      <c r="G327" s="123">
        <v>12</v>
      </c>
      <c r="H327" s="124">
        <v>49</v>
      </c>
      <c r="I327" s="125" t="str">
        <f>IF(F327&gt;=10,"Yes","No")</f>
        <v>No</v>
      </c>
      <c r="J327" s="126">
        <v>3</v>
      </c>
      <c r="K327" s="126">
        <v>1</v>
      </c>
      <c r="L327" s="126">
        <v>1</v>
      </c>
      <c r="M327" s="127" t="s">
        <v>51</v>
      </c>
      <c r="N327" s="127" t="str">
        <f>VLOOKUP(M327,F386:G389,2,FALSE)</f>
        <v>Northeast</v>
      </c>
      <c r="O327" s="114"/>
    </row>
    <row r="328" spans="1:15" s="115" customFormat="1" ht="15.75">
      <c r="A328" s="113">
        <v>1760</v>
      </c>
      <c r="B328" s="118">
        <v>41032</v>
      </c>
      <c r="C328" s="119" t="s">
        <v>16</v>
      </c>
      <c r="D328" s="120">
        <v>60348</v>
      </c>
      <c r="E328" s="121">
        <f t="shared" si="4"/>
        <v>29.013461538461538</v>
      </c>
      <c r="F328" s="122">
        <f>YEARFRAC(B328,F9)</f>
        <v>2.661111111111111</v>
      </c>
      <c r="G328" s="123">
        <v>16</v>
      </c>
      <c r="H328" s="124">
        <v>28</v>
      </c>
      <c r="I328" s="125"/>
      <c r="J328" s="126">
        <v>2</v>
      </c>
      <c r="K328" s="126">
        <v>1</v>
      </c>
      <c r="L328" s="126">
        <v>2</v>
      </c>
      <c r="M328" s="127" t="s">
        <v>51</v>
      </c>
      <c r="N328" s="127" t="str">
        <f>VLOOKUP(M328,F386:G389,2,FALSE)</f>
        <v>Northeast</v>
      </c>
      <c r="O328" s="114"/>
    </row>
    <row r="329" spans="1:15" ht="15.75">
      <c r="A329" s="62">
        <v>1760</v>
      </c>
      <c r="B329" s="118">
        <v>41033</v>
      </c>
      <c r="C329" s="119" t="s">
        <v>25</v>
      </c>
      <c r="D329" s="120">
        <v>31049</v>
      </c>
      <c r="E329" s="121">
        <f t="shared" si="4"/>
        <v>14.927403846153846</v>
      </c>
      <c r="F329" s="122">
        <f>YEARFRAC(B329,F9)</f>
        <v>2.6583333333333332</v>
      </c>
      <c r="G329" s="123">
        <v>12</v>
      </c>
      <c r="H329" s="124">
        <v>22</v>
      </c>
      <c r="I329" s="125"/>
      <c r="J329" s="126">
        <v>3</v>
      </c>
      <c r="K329" s="126">
        <v>1</v>
      </c>
      <c r="L329" s="126">
        <v>2</v>
      </c>
      <c r="M329" s="127" t="s">
        <v>52</v>
      </c>
      <c r="N329" s="127" t="str">
        <f>VLOOKUP(M329,F386:G389,2,FALSE)</f>
        <v>Midwest</v>
      </c>
    </row>
    <row r="330" spans="1:15" ht="15.75">
      <c r="A330" s="62">
        <v>1764</v>
      </c>
      <c r="B330" s="118">
        <v>41033</v>
      </c>
      <c r="C330" s="119" t="s">
        <v>20</v>
      </c>
      <c r="D330" s="120">
        <v>57530</v>
      </c>
      <c r="E330" s="121">
        <f t="shared" si="4"/>
        <v>27.658653846153847</v>
      </c>
      <c r="F330" s="122">
        <f>YEARFRAC(B330,F9)</f>
        <v>2.6583333333333332</v>
      </c>
      <c r="G330" s="123">
        <v>12</v>
      </c>
      <c r="H330" s="124">
        <v>50</v>
      </c>
      <c r="I330" s="125" t="str">
        <f>IF(F330&gt;=10,"Yes","No")</f>
        <v>No</v>
      </c>
      <c r="J330" s="126">
        <v>3</v>
      </c>
      <c r="K330" s="126">
        <v>1</v>
      </c>
      <c r="L330" s="126">
        <v>2</v>
      </c>
      <c r="M330" s="127" t="s">
        <v>52</v>
      </c>
      <c r="N330" s="127" t="str">
        <f>VLOOKUP(M330,F386:G389,2,FALSE)</f>
        <v>Midwest</v>
      </c>
    </row>
    <row r="331" spans="1:15" ht="15.75">
      <c r="A331" s="62">
        <v>1767</v>
      </c>
      <c r="B331" s="118">
        <v>41035</v>
      </c>
      <c r="C331" s="119" t="s">
        <v>20</v>
      </c>
      <c r="D331" s="120">
        <v>51360</v>
      </c>
      <c r="E331" s="121">
        <f t="shared" ref="E331:E382" si="5">D331/Annual_Hrs</f>
        <v>24.692307692307693</v>
      </c>
      <c r="F331" s="122">
        <f>YEARFRAC(B331,F9)</f>
        <v>2.6527777777777777</v>
      </c>
      <c r="G331" s="123">
        <v>12</v>
      </c>
      <c r="H331" s="124">
        <v>44</v>
      </c>
      <c r="I331" s="125"/>
      <c r="J331" s="126">
        <v>3</v>
      </c>
      <c r="K331" s="126">
        <v>1</v>
      </c>
      <c r="L331" s="126">
        <v>1</v>
      </c>
      <c r="M331" s="127" t="s">
        <v>52</v>
      </c>
      <c r="N331" s="127" t="str">
        <f>VLOOKUP(M331,F387:G390,2,FALSE)</f>
        <v>Midwest</v>
      </c>
    </row>
    <row r="332" spans="1:15" ht="15.75">
      <c r="A332" s="62">
        <v>1770</v>
      </c>
      <c r="B332" s="118">
        <v>41062</v>
      </c>
      <c r="C332" s="119" t="s">
        <v>20</v>
      </c>
      <c r="D332" s="120">
        <v>86972</v>
      </c>
      <c r="E332" s="121">
        <f t="shared" si="5"/>
        <v>41.813461538461539</v>
      </c>
      <c r="F332" s="122">
        <f>YEARFRAC(B332,F9)</f>
        <v>2.5805555555555557</v>
      </c>
      <c r="G332" s="123">
        <v>16</v>
      </c>
      <c r="H332" s="124">
        <v>48</v>
      </c>
      <c r="I332" s="125" t="str">
        <f>IF(F332&gt;=10,"Yes","No")</f>
        <v>No</v>
      </c>
      <c r="J332" s="126">
        <v>3</v>
      </c>
      <c r="K332" s="126">
        <v>1</v>
      </c>
      <c r="L332" s="126">
        <v>1</v>
      </c>
      <c r="M332" s="127" t="s">
        <v>48</v>
      </c>
      <c r="N332" s="127" t="str">
        <f>VLOOKUP(M332,F388:G390,2,FALSE)</f>
        <v>C-Plains</v>
      </c>
    </row>
    <row r="333" spans="1:15" s="115" customFormat="1" ht="15.75">
      <c r="A333" s="113">
        <v>1771</v>
      </c>
      <c r="B333" s="118">
        <v>41073</v>
      </c>
      <c r="C333" s="119" t="s">
        <v>20</v>
      </c>
      <c r="D333" s="120">
        <v>51899</v>
      </c>
      <c r="E333" s="121">
        <f t="shared" si="5"/>
        <v>24.951442307692307</v>
      </c>
      <c r="F333" s="122">
        <f>YEARFRAC(B333,F9)</f>
        <v>2.5499999999999998</v>
      </c>
      <c r="G333" s="123">
        <v>12</v>
      </c>
      <c r="H333" s="124">
        <v>44</v>
      </c>
      <c r="I333" s="125"/>
      <c r="J333" s="126">
        <v>3</v>
      </c>
      <c r="K333" s="126">
        <v>1</v>
      </c>
      <c r="L333" s="126">
        <v>1</v>
      </c>
      <c r="M333" s="127" t="s">
        <v>51</v>
      </c>
      <c r="N333" s="127" t="str">
        <f>VLOOKUP(M333,F386:G389,2,FALSE)</f>
        <v>Northeast</v>
      </c>
      <c r="O333" s="114"/>
    </row>
    <row r="334" spans="1:15" s="115" customFormat="1" ht="15.75">
      <c r="A334" s="113">
        <v>1773</v>
      </c>
      <c r="B334" s="118">
        <v>41073</v>
      </c>
      <c r="C334" s="119" t="s">
        <v>20</v>
      </c>
      <c r="D334" s="120">
        <v>60999</v>
      </c>
      <c r="E334" s="121">
        <f t="shared" si="5"/>
        <v>29.326442307692307</v>
      </c>
      <c r="F334" s="122">
        <f>YEARFRAC(B334,F9)</f>
        <v>2.5499999999999998</v>
      </c>
      <c r="G334" s="123">
        <v>16</v>
      </c>
      <c r="H334" s="124">
        <v>42</v>
      </c>
      <c r="I334" s="125"/>
      <c r="J334" s="126">
        <v>3</v>
      </c>
      <c r="K334" s="126">
        <v>1</v>
      </c>
      <c r="L334" s="126">
        <v>2</v>
      </c>
      <c r="M334" s="127" t="s">
        <v>51</v>
      </c>
      <c r="N334" s="127" t="str">
        <f>VLOOKUP(M334,F386:G389,2,FALSE)</f>
        <v>Northeast</v>
      </c>
      <c r="O334" s="114"/>
    </row>
    <row r="335" spans="1:15" ht="15.75">
      <c r="A335" s="62">
        <v>1774</v>
      </c>
      <c r="B335" s="118">
        <v>41081</v>
      </c>
      <c r="C335" s="119" t="s">
        <v>20</v>
      </c>
      <c r="D335" s="120">
        <v>68455</v>
      </c>
      <c r="E335" s="121">
        <f t="shared" si="5"/>
        <v>32.911057692307693</v>
      </c>
      <c r="F335" s="122">
        <f>YEARFRAC(B335,F9)</f>
        <v>2.5277777777777777</v>
      </c>
      <c r="G335" s="123">
        <v>16</v>
      </c>
      <c r="H335" s="124">
        <v>33</v>
      </c>
      <c r="I335" s="125"/>
      <c r="J335" s="126">
        <v>3</v>
      </c>
      <c r="K335" s="126">
        <v>2</v>
      </c>
      <c r="L335" s="126">
        <v>1</v>
      </c>
      <c r="M335" s="127" t="s">
        <v>48</v>
      </c>
      <c r="N335" s="127" t="str">
        <f>VLOOKUP(M335,F386:G389,2,FALSE)</f>
        <v>C-Plains</v>
      </c>
    </row>
    <row r="336" spans="1:15" ht="15.75">
      <c r="A336" s="62">
        <v>1776</v>
      </c>
      <c r="B336" s="118">
        <v>41098</v>
      </c>
      <c r="C336" s="119" t="s">
        <v>20</v>
      </c>
      <c r="D336" s="120">
        <v>61441</v>
      </c>
      <c r="E336" s="121">
        <f t="shared" si="5"/>
        <v>29.538942307692309</v>
      </c>
      <c r="F336" s="122">
        <f>YEARFRAC(B336,F9)</f>
        <v>2.4805555555555556</v>
      </c>
      <c r="G336" s="123">
        <v>16</v>
      </c>
      <c r="H336" s="124">
        <v>30</v>
      </c>
      <c r="I336" s="125"/>
      <c r="J336" s="126">
        <v>3</v>
      </c>
      <c r="K336" s="126">
        <v>2</v>
      </c>
      <c r="L336" s="126">
        <v>2</v>
      </c>
      <c r="M336" s="127" t="s">
        <v>52</v>
      </c>
      <c r="N336" s="127" t="str">
        <f>VLOOKUP(M336,F386:G389,2,FALSE)</f>
        <v>Midwest</v>
      </c>
    </row>
    <row r="337" spans="1:15" s="115" customFormat="1" ht="15.75">
      <c r="A337" s="113">
        <v>1776</v>
      </c>
      <c r="B337" s="118">
        <v>41098</v>
      </c>
      <c r="C337" s="119" t="s">
        <v>20</v>
      </c>
      <c r="D337" s="120">
        <v>60198</v>
      </c>
      <c r="E337" s="121">
        <f t="shared" si="5"/>
        <v>28.941346153846155</v>
      </c>
      <c r="F337" s="122">
        <f>YEARFRAC(B337,F9)</f>
        <v>2.4805555555555556</v>
      </c>
      <c r="G337" s="123">
        <v>12</v>
      </c>
      <c r="H337" s="124">
        <v>54</v>
      </c>
      <c r="I337" s="125" t="str">
        <f>IF(F337&gt;=10,"Yes","No")</f>
        <v>No</v>
      </c>
      <c r="J337" s="126">
        <v>3</v>
      </c>
      <c r="K337" s="126">
        <v>1</v>
      </c>
      <c r="L337" s="126">
        <v>1</v>
      </c>
      <c r="M337" s="127" t="s">
        <v>51</v>
      </c>
      <c r="N337" s="127" t="str">
        <f>VLOOKUP(M337,F386:G389,2,FALSE)</f>
        <v>Northeast</v>
      </c>
      <c r="O337" s="114"/>
    </row>
    <row r="338" spans="1:15" ht="15.75">
      <c r="A338" s="62">
        <v>1779</v>
      </c>
      <c r="B338" s="118">
        <v>41120</v>
      </c>
      <c r="C338" s="119" t="s">
        <v>20</v>
      </c>
      <c r="D338" s="120">
        <v>33631</v>
      </c>
      <c r="E338" s="121">
        <f t="shared" si="5"/>
        <v>16.168749999999999</v>
      </c>
      <c r="F338" s="122">
        <f>YEARFRAC(B338,F9)</f>
        <v>2.4166666666666665</v>
      </c>
      <c r="G338" s="123">
        <v>12</v>
      </c>
      <c r="H338" s="124">
        <v>28</v>
      </c>
      <c r="I338" s="125"/>
      <c r="J338" s="126">
        <v>3</v>
      </c>
      <c r="K338" s="126">
        <v>1</v>
      </c>
      <c r="L338" s="126">
        <v>1</v>
      </c>
      <c r="M338" s="127" t="s">
        <v>48</v>
      </c>
      <c r="N338" s="127" t="str">
        <f>VLOOKUP(M338,F386:G389,2,FALSE)</f>
        <v>C-Plains</v>
      </c>
    </row>
    <row r="339" spans="1:15" ht="15.75">
      <c r="A339" s="62">
        <v>1779</v>
      </c>
      <c r="B339" s="118">
        <v>41128</v>
      </c>
      <c r="C339" s="119" t="s">
        <v>20</v>
      </c>
      <c r="D339" s="120">
        <v>51084</v>
      </c>
      <c r="E339" s="121">
        <f t="shared" si="5"/>
        <v>24.559615384615384</v>
      </c>
      <c r="F339" s="122">
        <f>YEARFRAC(B339,F9)</f>
        <v>2.4</v>
      </c>
      <c r="G339" s="123">
        <v>12</v>
      </c>
      <c r="H339" s="124">
        <v>43</v>
      </c>
      <c r="I339" s="125"/>
      <c r="J339" s="126">
        <v>3</v>
      </c>
      <c r="K339" s="126">
        <v>1</v>
      </c>
      <c r="L339" s="126">
        <v>1</v>
      </c>
      <c r="M339" s="127" t="s">
        <v>52</v>
      </c>
      <c r="N339" s="127" t="str">
        <f>VLOOKUP(M339,F386:G389,2,FALSE)</f>
        <v>Midwest</v>
      </c>
    </row>
    <row r="340" spans="1:15" ht="15.75">
      <c r="A340" s="62">
        <v>1782</v>
      </c>
      <c r="B340" s="118">
        <v>41136</v>
      </c>
      <c r="C340" s="119" t="s">
        <v>20</v>
      </c>
      <c r="D340" s="120">
        <v>53903</v>
      </c>
      <c r="E340" s="121">
        <f t="shared" si="5"/>
        <v>25.914903846153845</v>
      </c>
      <c r="F340" s="122">
        <f>YEARFRAC(B340,F9)</f>
        <v>2.3777777777777778</v>
      </c>
      <c r="G340" s="123">
        <v>12</v>
      </c>
      <c r="H340" s="124">
        <v>46</v>
      </c>
      <c r="I340" s="125" t="str">
        <f>IF(F340&gt;=10,"Yes","No")</f>
        <v>No</v>
      </c>
      <c r="J340" s="126">
        <v>1</v>
      </c>
      <c r="K340" s="126">
        <v>1</v>
      </c>
      <c r="L340" s="126">
        <v>1</v>
      </c>
      <c r="M340" s="127" t="s">
        <v>48</v>
      </c>
      <c r="N340" s="127" t="str">
        <f>VLOOKUP(M340,F386:G389,2,FALSE)</f>
        <v>C-Plains</v>
      </c>
    </row>
    <row r="341" spans="1:15" ht="15.75">
      <c r="A341" s="62">
        <v>1785</v>
      </c>
      <c r="B341" s="118">
        <v>41137</v>
      </c>
      <c r="C341" s="119" t="s">
        <v>20</v>
      </c>
      <c r="D341" s="120">
        <v>86972</v>
      </c>
      <c r="E341" s="121">
        <f t="shared" si="5"/>
        <v>41.813461538461539</v>
      </c>
      <c r="F341" s="122">
        <f>YEARFRAC(B341,F9)</f>
        <v>2.375</v>
      </c>
      <c r="G341" s="123">
        <v>16</v>
      </c>
      <c r="H341" s="124">
        <v>50</v>
      </c>
      <c r="I341" s="125"/>
      <c r="J341" s="126">
        <v>3</v>
      </c>
      <c r="K341" s="126">
        <v>1</v>
      </c>
      <c r="L341" s="126">
        <v>1</v>
      </c>
      <c r="M341" s="127" t="s">
        <v>52</v>
      </c>
      <c r="N341" s="127" t="str">
        <f>VLOOKUP(M341,F386:G389,2,FALSE)</f>
        <v>Midwest</v>
      </c>
    </row>
    <row r="342" spans="1:15" ht="15.75">
      <c r="A342" s="62">
        <v>1785</v>
      </c>
      <c r="B342" s="118">
        <v>41142</v>
      </c>
      <c r="C342" s="119" t="s">
        <v>20</v>
      </c>
      <c r="D342" s="120">
        <v>26096</v>
      </c>
      <c r="E342" s="121">
        <f t="shared" si="5"/>
        <v>12.546153846153846</v>
      </c>
      <c r="F342" s="122">
        <f>YEARFRAC(B342,F9)</f>
        <v>2.3611111111111112</v>
      </c>
      <c r="G342" s="123">
        <v>14</v>
      </c>
      <c r="H342" s="124">
        <v>25</v>
      </c>
      <c r="I342" s="125"/>
      <c r="J342" s="126">
        <v>4</v>
      </c>
      <c r="K342" s="126">
        <v>1</v>
      </c>
      <c r="L342" s="126">
        <v>2</v>
      </c>
      <c r="M342" s="127" t="s">
        <v>52</v>
      </c>
      <c r="N342" s="127" t="str">
        <f>VLOOKUP(M342,F386:G389,2,FALSE)</f>
        <v>Midwest</v>
      </c>
    </row>
    <row r="343" spans="1:15" s="115" customFormat="1" ht="15.75">
      <c r="A343" s="113">
        <v>1785</v>
      </c>
      <c r="B343" s="118">
        <v>41153</v>
      </c>
      <c r="C343" s="119" t="s">
        <v>20</v>
      </c>
      <c r="D343" s="120">
        <v>42456</v>
      </c>
      <c r="E343" s="121">
        <f t="shared" si="5"/>
        <v>20.411538461538463</v>
      </c>
      <c r="F343" s="122">
        <f>YEARFRAC(B343,F9)</f>
        <v>2.3333333333333335</v>
      </c>
      <c r="G343" s="123">
        <v>12</v>
      </c>
      <c r="H343" s="124">
        <v>32</v>
      </c>
      <c r="I343" s="125"/>
      <c r="J343" s="126">
        <v>3</v>
      </c>
      <c r="K343" s="126">
        <v>2</v>
      </c>
      <c r="L343" s="126">
        <v>1</v>
      </c>
      <c r="M343" s="127" t="s">
        <v>51</v>
      </c>
      <c r="N343" s="127" t="str">
        <f>VLOOKUP(M343,F386:G389,2,FALSE)</f>
        <v>Northeast</v>
      </c>
      <c r="O343" s="114"/>
    </row>
    <row r="344" spans="1:15" ht="15.75">
      <c r="A344" s="62">
        <v>1787</v>
      </c>
      <c r="B344" s="118">
        <v>41157</v>
      </c>
      <c r="C344" s="119" t="s">
        <v>20</v>
      </c>
      <c r="D344" s="120">
        <v>66261</v>
      </c>
      <c r="E344" s="121">
        <f t="shared" si="5"/>
        <v>31.856249999999999</v>
      </c>
      <c r="F344" s="122">
        <f>YEARFRAC(B344,F9)</f>
        <v>2.3222222222222224</v>
      </c>
      <c r="G344" s="123">
        <v>16</v>
      </c>
      <c r="H344" s="124">
        <v>45</v>
      </c>
      <c r="I344" s="125"/>
      <c r="J344" s="126">
        <v>3</v>
      </c>
      <c r="K344" s="126">
        <v>1</v>
      </c>
      <c r="L344" s="126">
        <v>1</v>
      </c>
      <c r="M344" s="127" t="s">
        <v>52</v>
      </c>
      <c r="N344" s="127" t="str">
        <f>VLOOKUP(M344,F386:G389,2,FALSE)</f>
        <v>Midwest</v>
      </c>
    </row>
    <row r="345" spans="1:15" s="115" customFormat="1" ht="15.75">
      <c r="A345" s="113">
        <v>1789</v>
      </c>
      <c r="B345" s="118">
        <v>41158</v>
      </c>
      <c r="C345" s="119" t="s">
        <v>20</v>
      </c>
      <c r="D345" s="120">
        <v>42802</v>
      </c>
      <c r="E345" s="121">
        <f t="shared" si="5"/>
        <v>20.577884615384615</v>
      </c>
      <c r="F345" s="122">
        <f>YEARFRAC(B345,F9)</f>
        <v>2.3194444444444446</v>
      </c>
      <c r="G345" s="123">
        <v>12</v>
      </c>
      <c r="H345" s="124">
        <v>35</v>
      </c>
      <c r="I345" s="125"/>
      <c r="J345" s="126">
        <v>3</v>
      </c>
      <c r="K345" s="126">
        <v>1</v>
      </c>
      <c r="L345" s="126">
        <v>1</v>
      </c>
      <c r="M345" s="127" t="s">
        <v>51</v>
      </c>
      <c r="N345" s="127" t="str">
        <f>VLOOKUP(M345,F386:G389,2,FALSE)</f>
        <v>Northeast</v>
      </c>
      <c r="O345" s="114"/>
    </row>
    <row r="346" spans="1:15" ht="15.75">
      <c r="A346" s="62">
        <v>1793</v>
      </c>
      <c r="B346" s="118">
        <v>41159</v>
      </c>
      <c r="C346" s="119" t="s">
        <v>20</v>
      </c>
      <c r="D346" s="120">
        <v>81077</v>
      </c>
      <c r="E346" s="121">
        <f t="shared" si="5"/>
        <v>38.979326923076925</v>
      </c>
      <c r="F346" s="122">
        <f>YEARFRAC(B346,F9)</f>
        <v>2.3166666666666669</v>
      </c>
      <c r="G346" s="123">
        <v>19</v>
      </c>
      <c r="H346" s="124">
        <v>54</v>
      </c>
      <c r="I346" s="125" t="str">
        <f>IF(F346&gt;=10,"Yes","No")</f>
        <v>No</v>
      </c>
      <c r="J346" s="126">
        <v>1</v>
      </c>
      <c r="K346" s="126">
        <v>1</v>
      </c>
      <c r="L346" s="126">
        <v>1</v>
      </c>
      <c r="M346" s="127" t="s">
        <v>52</v>
      </c>
      <c r="N346" s="127" t="str">
        <f>VLOOKUP(M346,F386:G389,2,FALSE)</f>
        <v>Midwest</v>
      </c>
    </row>
    <row r="347" spans="1:15" ht="15.75">
      <c r="A347" s="62">
        <v>1793</v>
      </c>
      <c r="B347" s="118">
        <v>41167</v>
      </c>
      <c r="C347" s="119" t="s">
        <v>20</v>
      </c>
      <c r="D347" s="120">
        <v>50788</v>
      </c>
      <c r="E347" s="121">
        <f t="shared" si="5"/>
        <v>24.417307692307691</v>
      </c>
      <c r="F347" s="122">
        <f>YEARFRAC(B347,F9)</f>
        <v>2.2944444444444443</v>
      </c>
      <c r="G347" s="123">
        <v>14</v>
      </c>
      <c r="H347" s="124">
        <v>40</v>
      </c>
      <c r="I347" s="125"/>
      <c r="J347" s="126">
        <v>3</v>
      </c>
      <c r="K347" s="126">
        <v>2</v>
      </c>
      <c r="L347" s="126">
        <v>1</v>
      </c>
      <c r="M347" s="127" t="s">
        <v>52</v>
      </c>
      <c r="N347" s="127" t="str">
        <f>VLOOKUP(M347,F386:G389,2,FALSE)</f>
        <v>Midwest</v>
      </c>
    </row>
    <row r="348" spans="1:15" ht="15.75">
      <c r="A348" s="62">
        <v>1793</v>
      </c>
      <c r="B348" s="118">
        <v>41225</v>
      </c>
      <c r="C348" s="119" t="s">
        <v>28</v>
      </c>
      <c r="D348" s="120">
        <v>90822</v>
      </c>
      <c r="E348" s="121">
        <f t="shared" si="5"/>
        <v>43.664423076923079</v>
      </c>
      <c r="F348" s="122">
        <f>YEARFRAC(B348,F9)</f>
        <v>2.1361111111111111</v>
      </c>
      <c r="G348" s="123">
        <v>19</v>
      </c>
      <c r="H348" s="124">
        <v>50</v>
      </c>
      <c r="I348" s="125"/>
      <c r="J348" s="126">
        <v>3</v>
      </c>
      <c r="K348" s="126">
        <v>1</v>
      </c>
      <c r="L348" s="126">
        <v>2</v>
      </c>
      <c r="M348" s="127" t="s">
        <v>52</v>
      </c>
      <c r="N348" s="127" t="str">
        <f>VLOOKUP(M348,F387:G390,2,FALSE)</f>
        <v>Midwest</v>
      </c>
    </row>
    <row r="349" spans="1:15" s="115" customFormat="1" ht="15.75">
      <c r="A349" s="113">
        <v>1794</v>
      </c>
      <c r="B349" s="118">
        <v>41258</v>
      </c>
      <c r="C349" s="119" t="s">
        <v>32</v>
      </c>
      <c r="D349" s="120">
        <v>60323</v>
      </c>
      <c r="E349" s="121">
        <f t="shared" si="5"/>
        <v>29.001442307692308</v>
      </c>
      <c r="F349" s="122">
        <f>YEARFRAC(B349,F9)</f>
        <v>2.0444444444444443</v>
      </c>
      <c r="G349" s="123">
        <v>16</v>
      </c>
      <c r="H349" s="124">
        <v>24</v>
      </c>
      <c r="I349" s="125"/>
      <c r="J349" s="126">
        <v>3</v>
      </c>
      <c r="K349" s="126">
        <v>1</v>
      </c>
      <c r="L349" s="126">
        <v>2</v>
      </c>
      <c r="M349" s="127" t="s">
        <v>51</v>
      </c>
      <c r="N349" s="127" t="str">
        <f>VLOOKUP(M349,F386:G389,2,FALSE)</f>
        <v>Northeast</v>
      </c>
      <c r="O349" s="114"/>
    </row>
    <row r="350" spans="1:15" s="115" customFormat="1" ht="15.75">
      <c r="A350" s="113">
        <v>1796</v>
      </c>
      <c r="B350" s="118">
        <v>41280</v>
      </c>
      <c r="C350" s="119" t="s">
        <v>32</v>
      </c>
      <c r="D350" s="120">
        <v>101275</v>
      </c>
      <c r="E350" s="121">
        <f t="shared" si="5"/>
        <v>48.689903846153847</v>
      </c>
      <c r="F350" s="122">
        <f>YEARFRAC(B350,F9)</f>
        <v>1.9861111111111112</v>
      </c>
      <c r="G350" s="123">
        <v>19</v>
      </c>
      <c r="H350" s="124">
        <v>43</v>
      </c>
      <c r="I350" s="125"/>
      <c r="J350" s="126">
        <v>3</v>
      </c>
      <c r="K350" s="126">
        <v>1</v>
      </c>
      <c r="L350" s="126">
        <v>1</v>
      </c>
      <c r="M350" s="127" t="s">
        <v>51</v>
      </c>
      <c r="N350" s="127" t="str">
        <f>VLOOKUP(M350,F386:G389,2,FALSE)</f>
        <v>Northeast</v>
      </c>
      <c r="O350" s="114"/>
    </row>
    <row r="351" spans="1:15" ht="15.75">
      <c r="A351" s="62">
        <v>1797</v>
      </c>
      <c r="B351" s="118">
        <v>41320</v>
      </c>
      <c r="C351" s="119" t="s">
        <v>32</v>
      </c>
      <c r="D351" s="120">
        <v>70084</v>
      </c>
      <c r="E351" s="121">
        <f t="shared" si="5"/>
        <v>33.694230769230771</v>
      </c>
      <c r="F351" s="122">
        <f>YEARFRAC(B351,F9)</f>
        <v>1.8777777777777778</v>
      </c>
      <c r="G351" s="123">
        <v>12</v>
      </c>
      <c r="H351" s="124">
        <v>44</v>
      </c>
      <c r="I351" s="125" t="str">
        <f>IF(F351&gt;=10,"Yes","No")</f>
        <v>No</v>
      </c>
      <c r="J351" s="126">
        <v>2</v>
      </c>
      <c r="K351" s="126">
        <v>1</v>
      </c>
      <c r="L351" s="126">
        <v>1</v>
      </c>
      <c r="M351" s="127" t="s">
        <v>48</v>
      </c>
      <c r="N351" s="127" t="str">
        <f>VLOOKUP(M351,F386:G389,2,FALSE)</f>
        <v>C-Plains</v>
      </c>
    </row>
    <row r="352" spans="1:15" s="115" customFormat="1" ht="15.75">
      <c r="A352" s="113">
        <v>1800</v>
      </c>
      <c r="B352" s="118">
        <v>41320</v>
      </c>
      <c r="C352" s="119" t="s">
        <v>18</v>
      </c>
      <c r="D352" s="120">
        <v>36918</v>
      </c>
      <c r="E352" s="121">
        <f t="shared" si="5"/>
        <v>17.749038461538461</v>
      </c>
      <c r="F352" s="122">
        <f>YEARFRAC(B352,F9)</f>
        <v>1.8777777777777778</v>
      </c>
      <c r="G352" s="123">
        <v>12</v>
      </c>
      <c r="H352" s="124">
        <v>32</v>
      </c>
      <c r="I352" s="125"/>
      <c r="J352" s="126">
        <v>1</v>
      </c>
      <c r="K352" s="126">
        <v>1</v>
      </c>
      <c r="L352" s="126">
        <v>1</v>
      </c>
      <c r="M352" s="127" t="s">
        <v>51</v>
      </c>
      <c r="N352" s="127" t="str">
        <f>VLOOKUP(M352,F386:G389,2,FALSE)</f>
        <v>Northeast</v>
      </c>
      <c r="O352" s="114"/>
    </row>
    <row r="353" spans="1:15" s="115" customFormat="1" ht="15.75">
      <c r="A353" s="113">
        <v>1800</v>
      </c>
      <c r="B353" s="118">
        <v>41320</v>
      </c>
      <c r="C353" s="119" t="s">
        <v>18</v>
      </c>
      <c r="D353" s="120">
        <v>59647</v>
      </c>
      <c r="E353" s="121">
        <f t="shared" si="5"/>
        <v>28.676442307692309</v>
      </c>
      <c r="F353" s="122">
        <f>YEARFRAC(B353,F9)</f>
        <v>1.8777777777777778</v>
      </c>
      <c r="G353" s="123">
        <v>14</v>
      </c>
      <c r="H353" s="124">
        <v>54</v>
      </c>
      <c r="I353" s="125" t="str">
        <f>IF(F353&gt;=10,"Yes","No")</f>
        <v>No</v>
      </c>
      <c r="J353" s="126">
        <v>3</v>
      </c>
      <c r="K353" s="126">
        <v>1</v>
      </c>
      <c r="L353" s="126">
        <v>1</v>
      </c>
      <c r="M353" s="127" t="s">
        <v>51</v>
      </c>
      <c r="N353" s="127" t="str">
        <f>VLOOKUP(M353,F386:G389,2,FALSE)</f>
        <v>Northeast</v>
      </c>
      <c r="O353" s="114"/>
    </row>
    <row r="354" spans="1:15" ht="15.75">
      <c r="A354" s="62">
        <v>1802</v>
      </c>
      <c r="B354" s="118">
        <v>41337</v>
      </c>
      <c r="C354" s="119" t="s">
        <v>18</v>
      </c>
      <c r="D354" s="120">
        <v>43498</v>
      </c>
      <c r="E354" s="121">
        <f t="shared" si="5"/>
        <v>20.912500000000001</v>
      </c>
      <c r="F354" s="122">
        <f>YEARFRAC(B354,F9)</f>
        <v>1.825</v>
      </c>
      <c r="G354" s="123">
        <v>12</v>
      </c>
      <c r="H354" s="124">
        <v>35</v>
      </c>
      <c r="I354" s="125"/>
      <c r="J354" s="126">
        <v>4</v>
      </c>
      <c r="K354" s="126">
        <v>1</v>
      </c>
      <c r="L354" s="126">
        <v>1</v>
      </c>
      <c r="M354" s="127" t="s">
        <v>48</v>
      </c>
      <c r="N354" s="127" t="str">
        <f>VLOOKUP(M354,F386:G389,2,FALSE)</f>
        <v>C-Plains</v>
      </c>
    </row>
    <row r="355" spans="1:15" s="115" customFormat="1" ht="15.75">
      <c r="A355" s="113">
        <v>1803</v>
      </c>
      <c r="B355" s="118">
        <v>41337</v>
      </c>
      <c r="C355" s="119" t="s">
        <v>18</v>
      </c>
      <c r="D355" s="120">
        <v>81282</v>
      </c>
      <c r="E355" s="121">
        <f t="shared" si="5"/>
        <v>39.077884615384619</v>
      </c>
      <c r="F355" s="122">
        <f>YEARFRAC(B355,F9)</f>
        <v>1.825</v>
      </c>
      <c r="G355" s="123">
        <v>16</v>
      </c>
      <c r="H355" s="124">
        <v>45</v>
      </c>
      <c r="I355" s="125" t="str">
        <f>IF(F355&gt;=10,"Yes","No")</f>
        <v>No</v>
      </c>
      <c r="J355" s="126">
        <v>3</v>
      </c>
      <c r="K355" s="126">
        <v>1</v>
      </c>
      <c r="L355" s="126">
        <v>1</v>
      </c>
      <c r="M355" s="127" t="s">
        <v>51</v>
      </c>
      <c r="N355" s="127" t="str">
        <f>VLOOKUP(M355,F386:G389,2,FALSE)</f>
        <v>Northeast</v>
      </c>
      <c r="O355" s="114"/>
    </row>
    <row r="356" spans="1:15" s="115" customFormat="1" ht="15.75">
      <c r="A356" s="113">
        <v>1804</v>
      </c>
      <c r="B356" s="118">
        <v>41338</v>
      </c>
      <c r="C356" s="119" t="s">
        <v>18</v>
      </c>
      <c r="D356" s="120">
        <v>64510</v>
      </c>
      <c r="E356" s="121">
        <f t="shared" si="5"/>
        <v>31.014423076923077</v>
      </c>
      <c r="F356" s="122">
        <f>YEARFRAC(B356,F9)</f>
        <v>1.8222222222222222</v>
      </c>
      <c r="G356" s="123">
        <v>16</v>
      </c>
      <c r="H356" s="124">
        <v>46</v>
      </c>
      <c r="I356" s="125"/>
      <c r="J356" s="126">
        <v>1</v>
      </c>
      <c r="K356" s="126">
        <v>2</v>
      </c>
      <c r="L356" s="126">
        <v>1</v>
      </c>
      <c r="M356" s="127" t="s">
        <v>51</v>
      </c>
      <c r="N356" s="127" t="str">
        <f>VLOOKUP(M356,F386:G389,2,FALSE)</f>
        <v>Northeast</v>
      </c>
      <c r="O356" s="114"/>
    </row>
    <row r="357" spans="1:15" ht="15.75">
      <c r="A357" s="62">
        <v>1809</v>
      </c>
      <c r="B357" s="118">
        <v>41340</v>
      </c>
      <c r="C357" s="119" t="s">
        <v>18</v>
      </c>
      <c r="D357" s="120">
        <v>56946</v>
      </c>
      <c r="E357" s="121">
        <f t="shared" si="5"/>
        <v>27.377884615384616</v>
      </c>
      <c r="F357" s="122">
        <f>YEARFRAC(B357,F9)</f>
        <v>1.8166666666666667</v>
      </c>
      <c r="G357" s="123">
        <v>12</v>
      </c>
      <c r="H357" s="124">
        <v>50</v>
      </c>
      <c r="I357" s="125" t="str">
        <f>IF(F357&gt;=10,"Yes","No")</f>
        <v>No</v>
      </c>
      <c r="J357" s="126">
        <v>1</v>
      </c>
      <c r="K357" s="126">
        <v>1</v>
      </c>
      <c r="L357" s="126">
        <v>1</v>
      </c>
      <c r="M357" s="127" t="s">
        <v>48</v>
      </c>
      <c r="N357" s="127" t="str">
        <f>VLOOKUP(M357,F386:G389,2,FALSE)</f>
        <v>C-Plains</v>
      </c>
    </row>
    <row r="358" spans="1:15" s="115" customFormat="1" ht="15.75">
      <c r="A358" s="113">
        <v>1812</v>
      </c>
      <c r="B358" s="118">
        <v>41351</v>
      </c>
      <c r="C358" s="119" t="s">
        <v>18</v>
      </c>
      <c r="D358" s="120">
        <v>27781</v>
      </c>
      <c r="E358" s="121">
        <f t="shared" si="5"/>
        <v>13.356249999999999</v>
      </c>
      <c r="F358" s="122">
        <f>YEARFRAC(B358,F9)</f>
        <v>1.7861111111111112</v>
      </c>
      <c r="G358" s="123">
        <v>12</v>
      </c>
      <c r="H358" s="124">
        <v>30</v>
      </c>
      <c r="I358" s="125"/>
      <c r="J358" s="126">
        <v>1</v>
      </c>
      <c r="K358" s="126">
        <v>1</v>
      </c>
      <c r="L358" s="126">
        <v>1</v>
      </c>
      <c r="M358" s="127" t="s">
        <v>51</v>
      </c>
      <c r="N358" s="127" t="str">
        <f>VLOOKUP(M358,F386:G389,2,FALSE)</f>
        <v>Northeast</v>
      </c>
      <c r="O358" s="114"/>
    </row>
    <row r="359" spans="1:15" ht="15.75">
      <c r="A359" s="62">
        <v>1813</v>
      </c>
      <c r="B359" s="118">
        <v>41371</v>
      </c>
      <c r="C359" s="119" t="s">
        <v>18</v>
      </c>
      <c r="D359" s="120">
        <v>53922</v>
      </c>
      <c r="E359" s="121">
        <f t="shared" si="5"/>
        <v>25.924038461538462</v>
      </c>
      <c r="F359" s="122">
        <f>YEARFRAC(B359,F9)</f>
        <v>1.7333333333333334</v>
      </c>
      <c r="G359" s="123">
        <v>12</v>
      </c>
      <c r="H359" s="124">
        <v>47</v>
      </c>
      <c r="I359" s="125" t="str">
        <f>IF(F359&gt;=10,"Yes","No")</f>
        <v>No</v>
      </c>
      <c r="J359" s="126">
        <v>1</v>
      </c>
      <c r="K359" s="126">
        <v>1</v>
      </c>
      <c r="L359" s="126">
        <v>2</v>
      </c>
      <c r="M359" s="127" t="s">
        <v>52</v>
      </c>
      <c r="N359" s="127" t="str">
        <f>VLOOKUP(M359,F386:G389,2,FALSE)</f>
        <v>Midwest</v>
      </c>
    </row>
    <row r="360" spans="1:15" s="115" customFormat="1" ht="15.75">
      <c r="A360" s="113">
        <v>1814</v>
      </c>
      <c r="B360" s="118">
        <v>41377</v>
      </c>
      <c r="C360" s="119" t="s">
        <v>18</v>
      </c>
      <c r="D360" s="120">
        <v>87102</v>
      </c>
      <c r="E360" s="121">
        <f t="shared" si="5"/>
        <v>41.875961538461539</v>
      </c>
      <c r="F360" s="122">
        <f>YEARFRAC(B360,F9)</f>
        <v>1.7166666666666666</v>
      </c>
      <c r="G360" s="123">
        <v>16</v>
      </c>
      <c r="H360" s="124">
        <v>53</v>
      </c>
      <c r="I360" s="125"/>
      <c r="J360" s="126">
        <v>1</v>
      </c>
      <c r="K360" s="126">
        <v>1</v>
      </c>
      <c r="L360" s="126">
        <v>1</v>
      </c>
      <c r="M360" s="127" t="s">
        <v>51</v>
      </c>
      <c r="N360" s="127" t="str">
        <f>VLOOKUP(M360,F386:G389,2,FALSE)</f>
        <v>Northeast</v>
      </c>
      <c r="O360" s="114"/>
    </row>
    <row r="361" spans="1:15" ht="15.75">
      <c r="A361" s="62">
        <v>1815</v>
      </c>
      <c r="B361" s="118">
        <v>41377</v>
      </c>
      <c r="C361" s="119" t="s">
        <v>18</v>
      </c>
      <c r="D361" s="120">
        <v>33244</v>
      </c>
      <c r="E361" s="121">
        <f t="shared" si="5"/>
        <v>15.982692307692307</v>
      </c>
      <c r="F361" s="122">
        <f>YEARFRAC(B361,F9)</f>
        <v>1.7166666666666666</v>
      </c>
      <c r="G361" s="123">
        <v>12</v>
      </c>
      <c r="H361" s="124">
        <v>26</v>
      </c>
      <c r="I361" s="125"/>
      <c r="J361" s="126">
        <v>3</v>
      </c>
      <c r="K361" s="126">
        <v>1</v>
      </c>
      <c r="L361" s="126">
        <v>1</v>
      </c>
      <c r="M361" s="127" t="s">
        <v>48</v>
      </c>
      <c r="N361" s="127" t="str">
        <f>VLOOKUP(M361,F386:G389,2,FALSE)</f>
        <v>C-Plains</v>
      </c>
    </row>
    <row r="362" spans="1:15" ht="15.75">
      <c r="A362" s="62">
        <v>1816</v>
      </c>
      <c r="B362" s="118">
        <v>41379</v>
      </c>
      <c r="C362" s="119" t="s">
        <v>18</v>
      </c>
      <c r="D362" s="120">
        <v>37144</v>
      </c>
      <c r="E362" s="121">
        <f t="shared" si="5"/>
        <v>17.857692307692307</v>
      </c>
      <c r="F362" s="122">
        <f>YEARFRAC(B362,F9)</f>
        <v>1.711111111111111</v>
      </c>
      <c r="G362" s="123">
        <v>12</v>
      </c>
      <c r="H362" s="124">
        <v>33</v>
      </c>
      <c r="I362" s="125"/>
      <c r="J362" s="126">
        <v>3</v>
      </c>
      <c r="K362" s="126">
        <v>1</v>
      </c>
      <c r="L362" s="126">
        <v>1</v>
      </c>
      <c r="M362" s="127" t="s">
        <v>48</v>
      </c>
      <c r="N362" s="127" t="str">
        <f>VLOOKUP(M362,F387:G390,2,FALSE)</f>
        <v>C-Plains</v>
      </c>
    </row>
    <row r="363" spans="1:15" ht="15.75">
      <c r="A363" s="62">
        <v>1819</v>
      </c>
      <c r="B363" s="118">
        <v>41390</v>
      </c>
      <c r="C363" s="119" t="s">
        <v>18</v>
      </c>
      <c r="D363" s="120">
        <v>34804</v>
      </c>
      <c r="E363" s="121">
        <f t="shared" si="5"/>
        <v>16.732692307692307</v>
      </c>
      <c r="F363" s="122">
        <f>YEARFRAC(B363,F9)</f>
        <v>1.6805555555555556</v>
      </c>
      <c r="G363" s="123">
        <v>12</v>
      </c>
      <c r="H363" s="124">
        <v>30</v>
      </c>
      <c r="I363" s="125"/>
      <c r="J363" s="126">
        <v>2</v>
      </c>
      <c r="K363" s="126">
        <v>1</v>
      </c>
      <c r="L363" s="126">
        <v>1</v>
      </c>
      <c r="M363" s="127" t="s">
        <v>52</v>
      </c>
      <c r="N363" s="127" t="str">
        <f>VLOOKUP(M363,F388:G390,2,FALSE)</f>
        <v>Midwest</v>
      </c>
    </row>
    <row r="364" spans="1:15" ht="15.75">
      <c r="A364" s="62">
        <v>1820</v>
      </c>
      <c r="B364" s="118">
        <v>41401</v>
      </c>
      <c r="C364" s="119" t="s">
        <v>18</v>
      </c>
      <c r="D364" s="120">
        <v>44236</v>
      </c>
      <c r="E364" s="121">
        <f t="shared" si="5"/>
        <v>21.267307692307693</v>
      </c>
      <c r="F364" s="122">
        <f>YEARFRAC(B364,F9)</f>
        <v>1.65</v>
      </c>
      <c r="G364" s="123">
        <v>12</v>
      </c>
      <c r="H364" s="124">
        <v>32</v>
      </c>
      <c r="I364" s="125"/>
      <c r="J364" s="126">
        <v>3</v>
      </c>
      <c r="K364" s="126">
        <v>1</v>
      </c>
      <c r="L364" s="126">
        <v>1</v>
      </c>
      <c r="M364" s="127" t="s">
        <v>48</v>
      </c>
      <c r="N364" s="127" t="str">
        <f>VLOOKUP(M364,F389:G390,2,FALSE)</f>
        <v>C-Plains</v>
      </c>
    </row>
    <row r="365" spans="1:15" s="115" customFormat="1" ht="15.75">
      <c r="A365" s="113">
        <v>1821</v>
      </c>
      <c r="B365" s="118">
        <v>41425</v>
      </c>
      <c r="C365" s="119" t="s">
        <v>18</v>
      </c>
      <c r="D365" s="120">
        <v>50130</v>
      </c>
      <c r="E365" s="121">
        <f t="shared" si="5"/>
        <v>24.10096153846154</v>
      </c>
      <c r="F365" s="122">
        <f>YEARFRAC(B365,F9)</f>
        <v>1.5833333333333333</v>
      </c>
      <c r="G365" s="123">
        <v>12</v>
      </c>
      <c r="H365" s="124">
        <v>40</v>
      </c>
      <c r="I365" s="125"/>
      <c r="J365" s="126">
        <v>3</v>
      </c>
      <c r="K365" s="126">
        <v>1</v>
      </c>
      <c r="L365" s="126">
        <v>1</v>
      </c>
      <c r="M365" s="127" t="s">
        <v>51</v>
      </c>
      <c r="N365" s="127" t="str">
        <f>VLOOKUP(M365,F386:G389,2,FALSE)</f>
        <v>Northeast</v>
      </c>
      <c r="O365" s="114"/>
    </row>
    <row r="366" spans="1:15" ht="15.75">
      <c r="A366" s="62">
        <v>1822</v>
      </c>
      <c r="B366" s="118">
        <v>41425</v>
      </c>
      <c r="C366" s="119" t="s">
        <v>18</v>
      </c>
      <c r="D366" s="120">
        <v>81691</v>
      </c>
      <c r="E366" s="121">
        <f t="shared" si="5"/>
        <v>39.274519230769229</v>
      </c>
      <c r="F366" s="122">
        <f>YEARFRAC(B366,F9)</f>
        <v>1.5833333333333333</v>
      </c>
      <c r="G366" s="123">
        <v>16</v>
      </c>
      <c r="H366" s="124">
        <v>36</v>
      </c>
      <c r="I366" s="125"/>
      <c r="J366" s="126">
        <v>3</v>
      </c>
      <c r="K366" s="126">
        <v>1</v>
      </c>
      <c r="L366" s="126">
        <v>1</v>
      </c>
      <c r="M366" s="127" t="s">
        <v>48</v>
      </c>
      <c r="N366" s="127" t="str">
        <f>VLOOKUP(M366,F386:G389,2,FALSE)</f>
        <v>C-Plains</v>
      </c>
    </row>
    <row r="367" spans="1:15" ht="15.75">
      <c r="A367" s="62">
        <v>1824</v>
      </c>
      <c r="B367" s="118">
        <v>41432</v>
      </c>
      <c r="C367" s="119" t="s">
        <v>18</v>
      </c>
      <c r="D367" s="120">
        <v>30089</v>
      </c>
      <c r="E367" s="121">
        <f t="shared" si="5"/>
        <v>14.465865384615384</v>
      </c>
      <c r="F367" s="122">
        <f>YEARFRAC(B367,F9)</f>
        <v>1.5666666666666667</v>
      </c>
      <c r="G367" s="123">
        <v>12</v>
      </c>
      <c r="H367" s="124">
        <v>20</v>
      </c>
      <c r="I367" s="125"/>
      <c r="J367" s="126">
        <v>1</v>
      </c>
      <c r="K367" s="126">
        <v>2</v>
      </c>
      <c r="L367" s="126">
        <v>2</v>
      </c>
      <c r="M367" s="127" t="s">
        <v>48</v>
      </c>
      <c r="N367" s="127" t="str">
        <f>VLOOKUP(M367,F386:G389,2,FALSE)</f>
        <v>C-Plains</v>
      </c>
    </row>
    <row r="368" spans="1:15" s="115" customFormat="1" ht="15.75">
      <c r="A368" s="113">
        <v>1829</v>
      </c>
      <c r="B368" s="118">
        <v>41432</v>
      </c>
      <c r="C368" s="119" t="s">
        <v>18</v>
      </c>
      <c r="D368" s="120">
        <v>48826</v>
      </c>
      <c r="E368" s="121">
        <f t="shared" si="5"/>
        <v>23.474038461538463</v>
      </c>
      <c r="F368" s="122">
        <f>YEARFRAC(B368,F9)</f>
        <v>1.5666666666666667</v>
      </c>
      <c r="G368" s="123">
        <v>12</v>
      </c>
      <c r="H368" s="124">
        <v>39</v>
      </c>
      <c r="I368" s="125"/>
      <c r="J368" s="126">
        <v>1</v>
      </c>
      <c r="K368" s="126">
        <v>1</v>
      </c>
      <c r="L368" s="126">
        <v>1</v>
      </c>
      <c r="M368" s="127" t="s">
        <v>51</v>
      </c>
      <c r="N368" s="127" t="str">
        <f>VLOOKUP(M368,F386:G389,2,FALSE)</f>
        <v>Northeast</v>
      </c>
      <c r="O368" s="114"/>
    </row>
    <row r="369" spans="1:15" ht="15.75">
      <c r="A369" s="62">
        <v>1830</v>
      </c>
      <c r="B369" s="118">
        <v>41463</v>
      </c>
      <c r="C369" s="119" t="s">
        <v>18</v>
      </c>
      <c r="D369" s="120">
        <v>58928</v>
      </c>
      <c r="E369" s="121">
        <f t="shared" si="5"/>
        <v>28.330769230769231</v>
      </c>
      <c r="F369" s="122">
        <f>YEARFRAC(B369,F9)</f>
        <v>1.4805555555555556</v>
      </c>
      <c r="G369" s="123">
        <v>14</v>
      </c>
      <c r="H369" s="124">
        <v>52</v>
      </c>
      <c r="I369" s="125" t="str">
        <f>IF(F369&gt;=10,"Yes","No")</f>
        <v>No</v>
      </c>
      <c r="J369" s="126">
        <v>3</v>
      </c>
      <c r="K369" s="126">
        <v>1</v>
      </c>
      <c r="L369" s="126">
        <v>1</v>
      </c>
      <c r="M369" s="127" t="s">
        <v>52</v>
      </c>
      <c r="N369" s="127" t="str">
        <f>VLOOKUP(M369,F387:G390,2,FALSE)</f>
        <v>Midwest</v>
      </c>
    </row>
    <row r="370" spans="1:15" s="115" customFormat="1" ht="15.75">
      <c r="A370" s="113">
        <v>1831</v>
      </c>
      <c r="B370" s="118">
        <v>41490</v>
      </c>
      <c r="C370" s="119" t="s">
        <v>18</v>
      </c>
      <c r="D370" s="120">
        <v>65938</v>
      </c>
      <c r="E370" s="121">
        <f t="shared" si="5"/>
        <v>31.700961538461538</v>
      </c>
      <c r="F370" s="122">
        <f>YEARFRAC(B370,F9)</f>
        <v>1.4083333333333334</v>
      </c>
      <c r="G370" s="123">
        <v>12</v>
      </c>
      <c r="H370" s="124">
        <v>29</v>
      </c>
      <c r="I370" s="125"/>
      <c r="J370" s="126">
        <v>1</v>
      </c>
      <c r="K370" s="126">
        <v>2</v>
      </c>
      <c r="L370" s="126">
        <v>1</v>
      </c>
      <c r="M370" s="127" t="s">
        <v>51</v>
      </c>
      <c r="N370" s="127" t="str">
        <f>VLOOKUP(M370,F386:G389,2,FALSE)</f>
        <v>Northeast</v>
      </c>
      <c r="O370" s="114"/>
    </row>
    <row r="371" spans="1:15" ht="15.75">
      <c r="A371" s="62">
        <v>1835</v>
      </c>
      <c r="B371" s="118">
        <v>41491</v>
      </c>
      <c r="C371" s="119" t="s">
        <v>18</v>
      </c>
      <c r="D371" s="120">
        <v>65556</v>
      </c>
      <c r="E371" s="121">
        <f t="shared" si="5"/>
        <v>31.517307692307693</v>
      </c>
      <c r="F371" s="122">
        <f>YEARFRAC(B371,F9)</f>
        <v>1.4055555555555554</v>
      </c>
      <c r="G371" s="123">
        <v>12</v>
      </c>
      <c r="H371" s="124">
        <v>29</v>
      </c>
      <c r="I371" s="125"/>
      <c r="J371" s="126">
        <v>4</v>
      </c>
      <c r="K371" s="126">
        <v>1</v>
      </c>
      <c r="L371" s="126">
        <v>1</v>
      </c>
      <c r="M371" s="127" t="s">
        <v>48</v>
      </c>
      <c r="N371" s="127" t="str">
        <f>VLOOKUP(M371,F387:G390,2,FALSE)</f>
        <v>C-Plains</v>
      </c>
    </row>
    <row r="372" spans="1:15" ht="15.75">
      <c r="A372" s="62">
        <v>1836</v>
      </c>
      <c r="B372" s="118">
        <v>41525</v>
      </c>
      <c r="C372" s="119" t="s">
        <v>18</v>
      </c>
      <c r="D372" s="120">
        <v>50199</v>
      </c>
      <c r="E372" s="121">
        <f t="shared" si="5"/>
        <v>24.134134615384614</v>
      </c>
      <c r="F372" s="122">
        <f>YEARFRAC(B372,F9)</f>
        <v>1.3138888888888889</v>
      </c>
      <c r="G372" s="123">
        <v>12</v>
      </c>
      <c r="H372" s="124">
        <v>41</v>
      </c>
      <c r="I372" s="125"/>
      <c r="J372" s="126">
        <v>1</v>
      </c>
      <c r="K372" s="126">
        <v>1</v>
      </c>
      <c r="L372" s="126">
        <v>1</v>
      </c>
      <c r="M372" s="127" t="s">
        <v>48</v>
      </c>
      <c r="N372" s="127" t="str">
        <f>VLOOKUP(M372,F388:G390,2,FALSE)</f>
        <v>C-Plains</v>
      </c>
    </row>
    <row r="373" spans="1:15" ht="15.75">
      <c r="A373" s="62">
        <v>1840</v>
      </c>
      <c r="B373" s="118">
        <v>41535</v>
      </c>
      <c r="C373" s="119" t="s">
        <v>18</v>
      </c>
      <c r="D373" s="120">
        <v>58792</v>
      </c>
      <c r="E373" s="121">
        <f t="shared" si="5"/>
        <v>28.265384615384615</v>
      </c>
      <c r="F373" s="122">
        <f>YEARFRAC(B373,F9)</f>
        <v>1.2861111111111112</v>
      </c>
      <c r="G373" s="123">
        <v>12</v>
      </c>
      <c r="H373" s="124">
        <v>52</v>
      </c>
      <c r="I373" s="125" t="str">
        <f>IF(F373&gt;=10,"Yes","No")</f>
        <v>No</v>
      </c>
      <c r="J373" s="126">
        <v>3</v>
      </c>
      <c r="K373" s="126">
        <v>1</v>
      </c>
      <c r="L373" s="126">
        <v>1</v>
      </c>
      <c r="M373" s="127" t="s">
        <v>52</v>
      </c>
      <c r="N373" s="127" t="str">
        <f>VLOOKUP(M373,F386:G389,2,FALSE)</f>
        <v>Midwest</v>
      </c>
    </row>
    <row r="374" spans="1:15" s="115" customFormat="1" ht="15.75">
      <c r="A374" s="113">
        <v>1841</v>
      </c>
      <c r="B374" s="118">
        <v>41536</v>
      </c>
      <c r="C374" s="119" t="s">
        <v>18</v>
      </c>
      <c r="D374" s="120">
        <v>79865</v>
      </c>
      <c r="E374" s="121">
        <f t="shared" si="5"/>
        <v>38.396634615384613</v>
      </c>
      <c r="F374" s="122">
        <f>YEARFRAC(B374,F9)</f>
        <v>1.2833333333333334</v>
      </c>
      <c r="G374" s="123">
        <v>16</v>
      </c>
      <c r="H374" s="124">
        <v>45</v>
      </c>
      <c r="I374" s="125"/>
      <c r="J374" s="126">
        <v>2</v>
      </c>
      <c r="K374" s="126">
        <v>1</v>
      </c>
      <c r="L374" s="126">
        <v>2</v>
      </c>
      <c r="M374" s="127" t="s">
        <v>51</v>
      </c>
      <c r="N374" s="127" t="str">
        <f>VLOOKUP(M374,F386:G389,2,FALSE)</f>
        <v>Northeast</v>
      </c>
      <c r="O374" s="114"/>
    </row>
    <row r="375" spans="1:15" s="115" customFormat="1" ht="15.75">
      <c r="A375" s="113">
        <v>1841</v>
      </c>
      <c r="B375" s="118">
        <v>41540</v>
      </c>
      <c r="C375" s="119" t="s">
        <v>18</v>
      </c>
      <c r="D375" s="120">
        <v>65117</v>
      </c>
      <c r="E375" s="121">
        <f t="shared" si="5"/>
        <v>31.306249999999999</v>
      </c>
      <c r="F375" s="122">
        <f>YEARFRAC(B375,F9)</f>
        <v>1.2722222222222221</v>
      </c>
      <c r="G375" s="123">
        <v>12</v>
      </c>
      <c r="H375" s="124">
        <v>28</v>
      </c>
      <c r="I375" s="125"/>
      <c r="J375" s="126">
        <v>3</v>
      </c>
      <c r="K375" s="126">
        <v>1</v>
      </c>
      <c r="L375" s="126">
        <v>1</v>
      </c>
      <c r="M375" s="127" t="s">
        <v>51</v>
      </c>
      <c r="N375" s="127" t="str">
        <f>VLOOKUP(M375,F386:G389,2,FALSE)</f>
        <v>Northeast</v>
      </c>
      <c r="O375" s="114"/>
    </row>
    <row r="376" spans="1:15" s="115" customFormat="1" ht="15.75">
      <c r="A376" s="116">
        <v>1846</v>
      </c>
      <c r="B376" s="118">
        <v>41570</v>
      </c>
      <c r="C376" s="119" t="s">
        <v>18</v>
      </c>
      <c r="D376" s="120">
        <v>80113</v>
      </c>
      <c r="E376" s="121">
        <f t="shared" si="5"/>
        <v>38.515865384615381</v>
      </c>
      <c r="F376" s="122">
        <f>YEARFRAC(B376,F9)</f>
        <v>1.1888888888888889</v>
      </c>
      <c r="G376" s="123">
        <v>19</v>
      </c>
      <c r="H376" s="124">
        <v>46</v>
      </c>
      <c r="I376" s="125"/>
      <c r="J376" s="126">
        <v>3</v>
      </c>
      <c r="K376" s="126">
        <v>2</v>
      </c>
      <c r="L376" s="126">
        <v>2</v>
      </c>
      <c r="M376" s="127" t="s">
        <v>51</v>
      </c>
      <c r="N376" s="127" t="str">
        <f>VLOOKUP(M376,F386:G389,2,FALSE)</f>
        <v>Northeast</v>
      </c>
      <c r="O376" s="114"/>
    </row>
    <row r="377" spans="1:15" ht="15.75">
      <c r="A377" s="62">
        <v>1846</v>
      </c>
      <c r="B377" s="118">
        <v>41572</v>
      </c>
      <c r="C377" s="119" t="s">
        <v>18</v>
      </c>
      <c r="D377" s="120">
        <v>60324</v>
      </c>
      <c r="E377" s="121">
        <f t="shared" si="5"/>
        <v>29.001923076923077</v>
      </c>
      <c r="F377" s="122">
        <f>YEARFRAC(B377,F9)</f>
        <v>1.1833333333333333</v>
      </c>
      <c r="G377" s="123">
        <v>16</v>
      </c>
      <c r="H377" s="124">
        <v>24</v>
      </c>
      <c r="I377" s="125"/>
      <c r="J377" s="126">
        <v>3</v>
      </c>
      <c r="K377" s="126">
        <v>1</v>
      </c>
      <c r="L377" s="126">
        <v>1</v>
      </c>
      <c r="M377" s="127" t="s">
        <v>52</v>
      </c>
      <c r="N377" s="127" t="str">
        <f>VLOOKUP(M377,F386:G389,2,FALSE)</f>
        <v>Midwest</v>
      </c>
    </row>
    <row r="378" spans="1:15" s="115" customFormat="1" ht="15.75">
      <c r="A378" s="113">
        <v>1846</v>
      </c>
      <c r="B378" s="118">
        <v>41652</v>
      </c>
      <c r="C378" s="119" t="s">
        <v>18</v>
      </c>
      <c r="D378" s="120">
        <v>53369</v>
      </c>
      <c r="E378" s="121">
        <f t="shared" si="5"/>
        <v>25.658173076923077</v>
      </c>
      <c r="F378" s="122">
        <f>YEARFRAC(B378,F9)</f>
        <v>0.96666666666666667</v>
      </c>
      <c r="G378" s="123">
        <v>12</v>
      </c>
      <c r="H378" s="124">
        <v>46</v>
      </c>
      <c r="I378" s="125" t="str">
        <f>IF(F378&gt;=10,"Yes","No")</f>
        <v>No</v>
      </c>
      <c r="J378" s="126">
        <v>2</v>
      </c>
      <c r="K378" s="126">
        <v>1</v>
      </c>
      <c r="L378" s="126">
        <v>1</v>
      </c>
      <c r="M378" s="127" t="s">
        <v>51</v>
      </c>
      <c r="N378" s="127" t="str">
        <f>VLOOKUP(M378,F386:G389,2,FALSE)</f>
        <v>Northeast</v>
      </c>
      <c r="O378" s="114"/>
    </row>
    <row r="379" spans="1:15" s="115" customFormat="1" ht="15.75">
      <c r="A379" s="113">
        <v>1848</v>
      </c>
      <c r="B379" s="118">
        <v>41653</v>
      </c>
      <c r="C379" s="119" t="s">
        <v>18</v>
      </c>
      <c r="D379" s="120">
        <v>80722</v>
      </c>
      <c r="E379" s="121">
        <f t="shared" si="5"/>
        <v>38.808653846153845</v>
      </c>
      <c r="F379" s="122">
        <f>YEARFRAC(B379,F9)</f>
        <v>0.96388888888888891</v>
      </c>
      <c r="G379" s="123">
        <v>19</v>
      </c>
      <c r="H379" s="124">
        <v>52</v>
      </c>
      <c r="I379" s="125"/>
      <c r="J379" s="126">
        <v>3</v>
      </c>
      <c r="K379" s="126">
        <v>1</v>
      </c>
      <c r="L379" s="126">
        <v>1</v>
      </c>
      <c r="M379" s="127" t="s">
        <v>51</v>
      </c>
      <c r="N379" s="127" t="str">
        <f>VLOOKUP(M379,F386:G389,2,FALSE)</f>
        <v>Northeast</v>
      </c>
      <c r="O379" s="114"/>
    </row>
    <row r="380" spans="1:15" s="115" customFormat="1" ht="15.75">
      <c r="A380" s="113">
        <v>1848</v>
      </c>
      <c r="B380" s="118">
        <v>41689</v>
      </c>
      <c r="C380" s="119" t="s">
        <v>33</v>
      </c>
      <c r="D380" s="120">
        <v>28344</v>
      </c>
      <c r="E380" s="121">
        <f t="shared" si="5"/>
        <v>13.626923076923077</v>
      </c>
      <c r="F380" s="122">
        <f>YEARFRAC(B380,F9)</f>
        <v>0.8666666666666667</v>
      </c>
      <c r="G380" s="123">
        <v>12</v>
      </c>
      <c r="H380" s="124">
        <v>32</v>
      </c>
      <c r="I380" s="125" t="str">
        <f>IF(F380&gt;=10,"Yes","No")</f>
        <v>No</v>
      </c>
      <c r="J380" s="126">
        <v>3</v>
      </c>
      <c r="K380" s="126">
        <v>1</v>
      </c>
      <c r="L380" s="126">
        <v>1</v>
      </c>
      <c r="M380" s="127" t="s">
        <v>51</v>
      </c>
      <c r="N380" s="127" t="str">
        <f>VLOOKUP(M380,F386:G389,2,FALSE)</f>
        <v>Northeast</v>
      </c>
      <c r="O380" s="114"/>
    </row>
    <row r="381" spans="1:15" s="115" customFormat="1" ht="15.75">
      <c r="A381" s="113">
        <v>1850</v>
      </c>
      <c r="B381" s="118">
        <v>41744</v>
      </c>
      <c r="C381" s="119" t="s">
        <v>33</v>
      </c>
      <c r="D381" s="120">
        <v>24060</v>
      </c>
      <c r="E381" s="121">
        <f t="shared" si="5"/>
        <v>11.567307692307692</v>
      </c>
      <c r="F381" s="122">
        <f>YEARFRAC(B381,F9)</f>
        <v>0.71111111111111114</v>
      </c>
      <c r="G381" s="123">
        <v>12</v>
      </c>
      <c r="H381" s="124">
        <v>24</v>
      </c>
      <c r="I381" s="125"/>
      <c r="J381" s="126">
        <v>3</v>
      </c>
      <c r="K381" s="126">
        <v>1</v>
      </c>
      <c r="L381" s="126">
        <v>2</v>
      </c>
      <c r="M381" s="127" t="s">
        <v>51</v>
      </c>
      <c r="N381" s="127" t="str">
        <f>VLOOKUP(M381,F386:G389,2,FALSE)</f>
        <v>Northeast</v>
      </c>
      <c r="O381" s="114"/>
    </row>
    <row r="382" spans="1:15" ht="15.75">
      <c r="A382" s="62">
        <v>1850</v>
      </c>
      <c r="B382" s="118">
        <v>41862</v>
      </c>
      <c r="C382" s="119" t="s">
        <v>33</v>
      </c>
      <c r="D382" s="141">
        <v>58068</v>
      </c>
      <c r="E382" s="121">
        <f t="shared" si="5"/>
        <v>27.917307692307691</v>
      </c>
      <c r="F382" s="122">
        <f>YEARFRAC(B382,F9)</f>
        <v>0.3888888888888889</v>
      </c>
      <c r="G382" s="142">
        <v>12</v>
      </c>
      <c r="H382" s="143">
        <v>30</v>
      </c>
      <c r="I382" s="125"/>
      <c r="J382" s="126">
        <v>3</v>
      </c>
      <c r="K382" s="126">
        <v>2</v>
      </c>
      <c r="L382" s="126">
        <v>1</v>
      </c>
      <c r="M382" s="127" t="s">
        <v>52</v>
      </c>
      <c r="N382" s="127" t="str">
        <f>VLOOKUP(M382,F387:G390,2,FALSE)</f>
        <v>Midwest</v>
      </c>
    </row>
    <row r="383" spans="1:15">
      <c r="C383" s="82"/>
      <c r="D383" s="71"/>
      <c r="E383" s="80"/>
      <c r="F383" s="81"/>
      <c r="G383" s="85"/>
      <c r="H383" s="81"/>
      <c r="I383" s="81"/>
      <c r="J383" s="81"/>
      <c r="K383" s="81"/>
      <c r="L383" s="81"/>
    </row>
    <row r="384" spans="1:15">
      <c r="C384" s="82"/>
      <c r="D384" s="79"/>
      <c r="E384" s="80"/>
      <c r="F384" s="81"/>
      <c r="G384" s="85"/>
      <c r="H384" s="81"/>
      <c r="I384" s="81"/>
      <c r="J384" s="81"/>
      <c r="K384" s="81"/>
      <c r="L384" s="81"/>
    </row>
    <row r="385" spans="1:15">
      <c r="A385" s="87"/>
      <c r="B385" s="87"/>
    </row>
    <row r="386" spans="1:15" s="107" customFormat="1">
      <c r="A386" s="78"/>
      <c r="B386" s="78"/>
      <c r="C386" s="78"/>
      <c r="D386" s="78"/>
      <c r="E386" s="78"/>
      <c r="F386" s="84" t="s">
        <v>49</v>
      </c>
      <c r="G386" s="92" t="s">
        <v>47</v>
      </c>
      <c r="H386" s="86" t="s">
        <v>76</v>
      </c>
      <c r="I386" s="86" t="s">
        <v>77</v>
      </c>
      <c r="J386" s="78"/>
      <c r="K386" s="78"/>
      <c r="L386" s="78"/>
      <c r="M386" s="78"/>
      <c r="N386" s="78"/>
    </row>
    <row r="387" spans="1:15" s="107" customFormat="1">
      <c r="A387" s="78"/>
      <c r="B387" s="78"/>
      <c r="C387" s="78"/>
      <c r="D387" s="78"/>
      <c r="E387" s="78"/>
      <c r="F387" s="84" t="s">
        <v>51</v>
      </c>
      <c r="G387" s="93" t="s">
        <v>53</v>
      </c>
      <c r="H387" s="99">
        <f>COUNTIF(N11:N382,"Northeast")</f>
        <v>148</v>
      </c>
      <c r="I387" s="100">
        <f>H387/H390</f>
        <v>0.39784946236559138</v>
      </c>
      <c r="J387" s="78"/>
      <c r="K387" s="78"/>
      <c r="L387" s="78"/>
      <c r="M387" s="78"/>
      <c r="N387" s="78"/>
    </row>
    <row r="388" spans="1:15" s="107" customFormat="1">
      <c r="A388" s="78"/>
      <c r="B388" s="78"/>
      <c r="C388" s="78"/>
      <c r="D388" s="78"/>
      <c r="E388" s="78"/>
      <c r="F388" s="84" t="s">
        <v>52</v>
      </c>
      <c r="G388" s="93" t="s">
        <v>54</v>
      </c>
      <c r="H388" s="99">
        <f>COUNTIF(N11:N382,"Midwest")</f>
        <v>123</v>
      </c>
      <c r="I388" s="100">
        <f>H388/H390</f>
        <v>0.33064516129032256</v>
      </c>
      <c r="J388" s="78"/>
      <c r="K388" s="78"/>
      <c r="L388" s="78"/>
      <c r="M388" s="78"/>
      <c r="N388" s="78"/>
    </row>
    <row r="389" spans="1:15" s="107" customFormat="1">
      <c r="A389" s="78"/>
      <c r="B389" s="78"/>
      <c r="C389" s="78"/>
      <c r="D389" s="78"/>
      <c r="E389" s="78"/>
      <c r="F389" s="84" t="s">
        <v>48</v>
      </c>
      <c r="G389" s="94" t="s">
        <v>75</v>
      </c>
      <c r="H389" s="99">
        <f>COUNTIF(N11:N382,"C-Plains")</f>
        <v>101</v>
      </c>
      <c r="I389" s="100">
        <f>H389/H390</f>
        <v>0.271505376344086</v>
      </c>
      <c r="J389" s="78"/>
      <c r="K389" s="78"/>
      <c r="L389" s="78"/>
      <c r="M389" s="78"/>
      <c r="N389" s="78"/>
    </row>
    <row r="390" spans="1:15" s="107" customFormat="1">
      <c r="A390" s="78"/>
      <c r="B390" s="78"/>
      <c r="C390" s="78"/>
      <c r="D390" s="78"/>
      <c r="E390" s="78"/>
      <c r="F390" s="78"/>
      <c r="G390" s="78"/>
      <c r="H390" s="99">
        <f>SUM(H387:H389)</f>
        <v>372</v>
      </c>
      <c r="I390" s="100"/>
      <c r="J390" s="78"/>
      <c r="K390" s="78"/>
      <c r="L390" s="78"/>
      <c r="M390" s="78"/>
      <c r="N390" s="78"/>
    </row>
    <row r="391" spans="1:15" s="78" customFormat="1">
      <c r="O391" s="107"/>
    </row>
    <row r="392" spans="1:15" s="78" customFormat="1">
      <c r="O392" s="107"/>
    </row>
    <row r="393" spans="1:15" s="78" customFormat="1">
      <c r="O393" s="107"/>
    </row>
    <row r="394" spans="1:15" s="78" customFormat="1">
      <c r="O394" s="107"/>
    </row>
    <row r="395" spans="1:15" s="78" customFormat="1">
      <c r="O395" s="107"/>
    </row>
    <row r="396" spans="1:15" s="78" customFormat="1">
      <c r="O396" s="107"/>
    </row>
    <row r="397" spans="1:15" s="78" customFormat="1">
      <c r="O397" s="107"/>
    </row>
    <row r="398" spans="1:15" s="78" customFormat="1">
      <c r="O398" s="107"/>
    </row>
  </sheetData>
  <pageMargins left="0.25" right="0.25" top="0.75" bottom="0.75" header="0.3" footer="0.3"/>
  <pageSetup orientation="landscape" verticalDpi="2"/>
  <headerFooter>
    <oddFooter>&amp;LName&amp;CPage &amp;P&amp;R11/15/2016</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X a V v S U o w T B K n A A A A + A A A A B I A H A B D b 2 5 m a W c v U G F j a 2 F n Z S 5 4 b W w g o h g A K K A U A A A A A A A A A A A A A A A A A A A A A A A A A A A A h Y 9 B D o I w F E S v Q r q n L U W N m k 9 Z u J X E h G j c N q V C I x R D i + V u L j y S V 5 B E U X c u Z / I m e f O 4 3 S E d m j q 4 q s 7 q 1 i Q o w h Q F y s i 2 0 K Z M U O 9 O 4 R K l H H Z C n k W p g h E 2 d j 1 Y n a D K u c u a E O 8 9 9 j F u u 5 I w S i N y z L a 5 r F Q j Q m 2 s E 0 Y q 9 F k V / 1 e I w + E l w x m O V 3 g 2 Z w s c s R j I V E O m z R d h o z G m Q H 5 K 2 P S 1 6 z v F l Q n 3 O Z A p A n m / 4 E 9 Q S w M E F A A C A A g A X a V v 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2 l b 0 k o i k e 4 D g A A A B E A A A A T A B w A R m 9 y b X V s Y X M v U 2 V j d G l v b j E u b S C i G A A o o B Q A A A A A A A A A A A A A A A A A A A A A A A A A A A A r T k 0 u y c z P U w i G 0 I b W A F B L A Q I t A B Q A A g A I A F 2 l b 0 l K M E w S p w A A A P g A A A A S A A A A A A A A A A A A A A A A A A A A A A B D b 2 5 m a W c v U G F j a 2 F n Z S 5 4 b W x Q S w E C L Q A U A A I A C A B d p W 9 J D 8 r p q 6 Q A A A D p A A A A E w A A A A A A A A A A A A A A A A D z A A A A W 0 N v b n R l b n R f V H l w Z X N d L n h t b F B L A Q I t A B Q A A g A I A F 2 l b 0 k 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X U q w k Z h i 5 T 7 P N 0 L u 7 H / 5 H A A A A A A I A A A A A A B B m A A A A A Q A A I A A A A F t A D b 6 Q r / Q O J c a a F 4 C A k Q 4 q e Z C 3 7 K V n x B g y + p B W a O x S A A A A A A 6 A A A A A A g A A I A A A A L w U H 9 y R 0 o I f C 4 A s G 2 t P j 8 E 4 s V Y h o B Q A l f 7 7 v 8 Y G A / w 2 U A A A A L 1 U y U i Y t X H C L 2 b U B m R 0 L y B Z 4 9 C c O G s l H s M y + R z Q z E g 2 E 2 9 I V M q L e E y j t l + 7 W Z p h l s m o o 9 + E x 7 S y k b K 4 r a v K h N G Y w m c F z 4 x o 0 i d 5 K f L w s C Y E Q A A A A A H 9 C T L K y a F G h 4 6 W t W Y k V y 9 e t b C w D U q t 3 Z Z 0 0 i 5 I / + F W 1 2 P c G N 8 4 M W 3 X X Y t Y P C S T 5 U Z r O C I x P / x f Q d 7 i w v / 2 s / 0 = < / D a t a M a s h u p > 
</file>

<file path=customXml/itemProps1.xml><?xml version="1.0" encoding="utf-8"?>
<ds:datastoreItem xmlns:ds="http://schemas.openxmlformats.org/officeDocument/2006/customXml" ds:itemID="{AF252704-ED1C-47D3-9121-7034DBBFD0B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0</TotalTime>
  <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Quantitative Analysis</vt:lpstr>
      <vt:lpstr>DATA</vt:lpstr>
      <vt:lpstr>Excel Summary Stats</vt:lpstr>
      <vt:lpstr>Graphs_Charts</vt:lpstr>
      <vt:lpstr>Histogram</vt:lpstr>
      <vt:lpstr>Sorted Data</vt:lpstr>
      <vt:lpstr>'Sorted Data'!Annual_Hours</vt:lpstr>
      <vt:lpstr>Annual_Hours</vt:lpstr>
      <vt:lpstr>DATA!Print_Titles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expertsmind</cp:lastModifiedBy>
  <cp:revision>0</cp:revision>
  <dcterms:modified xsi:type="dcterms:W3CDTF">2016-12-29T11:58:47Z</dcterms:modified>
</cp:coreProperties>
</file>