
<file path=[Content_Types].xml><?xml version="1.0" encoding="utf-8"?>
<Types xmlns="http://schemas.openxmlformats.org/package/2006/content-types">
  <Default Extension="rels" ContentType="application/vnd.openxmlformats-package.relationships+xml"/>
  <Default Extension="xml" ContentType="applicati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Relationships xmlns="http://schemas.openxmlformats.org/package/2006/relationships">
  <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xl" lastEdited="5" lowestEdited="5" rupBuild="24426"/>
  <workbookPr autoCompressPictures="0"/>
  <bookViews>
    <workbookView xWindow="360" yWindow="0" windowWidth="37980" windowHeight="17860" tabRatio="993"/>
  </bookViews>
  <sheets>
    <sheet name="GF WS" sheetId="2" r:id="rId1"/>
    <sheet name="GF OS" sheetId="31" r:id="rId2"/>
    <sheet name="GF BS" sheetId="32" r:id="rId3"/>
    <sheet name="GF BtoA" sheetId="33" r:id="rId4"/>
    <sheet name="AP SRF" sheetId="21" r:id="rId5"/>
    <sheet name="AP OS" sheetId="34" r:id="rId6"/>
    <sheet name="AP BS" sheetId="35" r:id="rId7"/>
    <sheet name="P&amp;R CPF" sheetId="22" r:id="rId8"/>
    <sheet name="P&amp;R OS" sheetId="38" r:id="rId9"/>
    <sheet name="P&amp;R BS" sheetId="39" r:id="rId10"/>
    <sheet name="Gen DSF" sheetId="25" r:id="rId11"/>
    <sheet name="Gen DSF OS" sheetId="42" r:id="rId12"/>
    <sheet name="Gen DSF BS" sheetId="43" r:id="rId13"/>
    <sheet name="GCA-GLTL" sheetId="26" r:id="rId14"/>
    <sheet name="net position calculation" sheetId="76" r:id="rId15"/>
    <sheet name="CGA WS" sheetId="72" r:id="rId16"/>
    <sheet name="CGA Note" sheetId="73" r:id="rId17"/>
    <sheet name="GLTL " sheetId="74" r:id="rId18"/>
    <sheet name="GLTL N" sheetId="75" r:id="rId19"/>
    <sheet name="W&amp;S EF" sheetId="28" r:id="rId20"/>
    <sheet name="W&amp;S OS" sheetId="49" r:id="rId21"/>
    <sheet name="W&amp;S SNP" sheetId="51" r:id="rId22"/>
    <sheet name="W&amp;S NP Calc" sheetId="48" r:id="rId23"/>
    <sheet name="W&amp;S SCF" sheetId="50" r:id="rId24"/>
    <sheet name="CCN ISF" sheetId="29" r:id="rId25"/>
    <sheet name="CCN OS" sheetId="52" r:id="rId26"/>
    <sheet name="CCN SNP" sheetId="53" r:id="rId27"/>
    <sheet name="CCN SCF" sheetId="54" r:id="rId28"/>
    <sheet name="PTF WS" sheetId="30" r:id="rId29"/>
    <sheet name="PTF OS" sheetId="55" r:id="rId30"/>
    <sheet name="PTF SNP" sheetId="56" r:id="rId31"/>
    <sheet name="Gov Fund OS" sheetId="60" r:id="rId32"/>
    <sheet name="Gov Fund BS" sheetId="61" r:id="rId33"/>
    <sheet name="Prop Fund OS" sheetId="69" r:id="rId34"/>
    <sheet name="Prop Fund SNP" sheetId="70" r:id="rId35"/>
    <sheet name="GF OS Conversion" sheetId="62" r:id="rId36"/>
    <sheet name="GF BS Conversion" sheetId="63" r:id="rId37"/>
    <sheet name="One Worksheet" sheetId="64" r:id="rId38"/>
    <sheet name="GW SNP" sheetId="66" r:id="rId39"/>
    <sheet name="BS Recon" sheetId="65" r:id="rId40"/>
    <sheet name="GW SoA" sheetId="67" r:id="rId41"/>
    <sheet name="OS Recon" sheetId="68" r:id="rId42"/>
    <sheet name="Sheet1" sheetId="77" r:id="rId43"/>
  </sheets>
  <definedNames>
    <definedName name="_xlnm.Print_Area">#REF!</definedName>
    <definedName name="_xlnm.Print_Titles">#N/A</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M48" i="28" l="1"/>
  <c r="P48" i="28"/>
  <c r="X48" i="28"/>
  <c r="A1" i="32"/>
  <c r="A1" i="33"/>
  <c r="A1" i="34"/>
  <c r="A1" i="35"/>
  <c r="A1" i="21"/>
  <c r="J24" i="62"/>
  <c r="B21" i="68"/>
  <c r="L31" i="62"/>
  <c r="L11" i="62"/>
  <c r="B14" i="68"/>
  <c r="L12" i="62"/>
  <c r="B12" i="65"/>
  <c r="E49" i="66"/>
  <c r="E48" i="66"/>
  <c r="E47" i="66"/>
  <c r="I47" i="66"/>
  <c r="E51" i="66"/>
  <c r="E52" i="66"/>
  <c r="E41" i="66"/>
  <c r="E40" i="66"/>
  <c r="E39" i="66"/>
  <c r="H81" i="64"/>
  <c r="H46" i="64"/>
  <c r="H39" i="64"/>
  <c r="H40" i="64"/>
  <c r="C31" i="73"/>
  <c r="C32" i="73"/>
  <c r="H42" i="64"/>
  <c r="H44" i="64"/>
  <c r="J73" i="64"/>
  <c r="J76" i="64"/>
  <c r="J79" i="64"/>
  <c r="O79" i="64"/>
  <c r="W79" i="64"/>
  <c r="H76" i="64"/>
  <c r="J74" i="64"/>
  <c r="H6" i="76"/>
  <c r="H7" i="76"/>
  <c r="H8" i="76"/>
  <c r="H11" i="76"/>
  <c r="F10" i="76"/>
  <c r="F13" i="76"/>
  <c r="H14" i="76"/>
  <c r="H18" i="76"/>
  <c r="F17" i="76"/>
  <c r="F16" i="76"/>
  <c r="F20" i="76"/>
  <c r="H21" i="76"/>
  <c r="H25" i="76"/>
  <c r="F24" i="76"/>
  <c r="H26" i="76"/>
  <c r="F28" i="76"/>
  <c r="H29" i="76"/>
  <c r="F34" i="76"/>
  <c r="H35" i="76"/>
  <c r="H39" i="26"/>
  <c r="H71" i="64"/>
  <c r="H80" i="64"/>
  <c r="H53" i="64"/>
  <c r="J51" i="63"/>
  <c r="J50" i="63"/>
  <c r="J48" i="63"/>
  <c r="J47" i="63"/>
  <c r="J46" i="63"/>
  <c r="H28" i="63"/>
  <c r="N28" i="63"/>
  <c r="E25" i="66"/>
  <c r="I25" i="66"/>
  <c r="H25" i="63"/>
  <c r="H23" i="63"/>
  <c r="H24" i="63"/>
  <c r="D41" i="63"/>
  <c r="C30" i="2"/>
  <c r="C24" i="2"/>
  <c r="H25" i="62"/>
  <c r="H24" i="62"/>
  <c r="H22" i="62"/>
  <c r="H21" i="62"/>
  <c r="C24" i="74"/>
  <c r="M24" i="74"/>
  <c r="M26" i="74"/>
  <c r="C22" i="74"/>
  <c r="C11" i="74"/>
  <c r="M11" i="74"/>
  <c r="M19" i="74"/>
  <c r="C8" i="74"/>
  <c r="M8" i="74"/>
  <c r="O26" i="74"/>
  <c r="O28" i="74"/>
  <c r="I26" i="74"/>
  <c r="E26" i="74"/>
  <c r="E28" i="74"/>
  <c r="O19" i="74"/>
  <c r="I19" i="74"/>
  <c r="E19" i="74"/>
  <c r="M17" i="74"/>
  <c r="M15" i="74"/>
  <c r="C26" i="74"/>
  <c r="M22" i="74"/>
  <c r="E36" i="72"/>
  <c r="E31" i="72"/>
  <c r="E29" i="72"/>
  <c r="E22" i="72"/>
  <c r="I18" i="72"/>
  <c r="I26" i="72"/>
  <c r="C36" i="72"/>
  <c r="C31" i="72"/>
  <c r="C29" i="72"/>
  <c r="M29" i="72"/>
  <c r="C24" i="72"/>
  <c r="M24" i="72"/>
  <c r="C18" i="72"/>
  <c r="M18" i="72"/>
  <c r="C16" i="72"/>
  <c r="M16" i="72"/>
  <c r="M26" i="72"/>
  <c r="C10" i="72"/>
  <c r="C8" i="72"/>
  <c r="C20" i="72"/>
  <c r="E32" i="72"/>
  <c r="C32" i="72"/>
  <c r="E10" i="72"/>
  <c r="E13" i="72"/>
  <c r="E8" i="72"/>
  <c r="I38" i="72"/>
  <c r="M34" i="72"/>
  <c r="E26" i="72"/>
  <c r="M22" i="72"/>
  <c r="I13" i="72"/>
  <c r="D44" i="62"/>
  <c r="D42" i="62"/>
  <c r="L32" i="60"/>
  <c r="D33" i="62"/>
  <c r="N33" i="62"/>
  <c r="D27" i="62"/>
  <c r="N27" i="62"/>
  <c r="D26" i="62"/>
  <c r="H27" i="63"/>
  <c r="B12" i="68"/>
  <c r="H39" i="62"/>
  <c r="H48" i="62"/>
  <c r="F17" i="62"/>
  <c r="H17" i="62"/>
  <c r="J17" i="62"/>
  <c r="L17" i="62"/>
  <c r="N26" i="62"/>
  <c r="N29" i="62"/>
  <c r="F34" i="62"/>
  <c r="N42" i="62"/>
  <c r="N44" i="62"/>
  <c r="F48" i="62"/>
  <c r="F50" i="62"/>
  <c r="H10" i="30"/>
  <c r="H31" i="30"/>
  <c r="J9" i="28"/>
  <c r="H17" i="28"/>
  <c r="J54" i="28"/>
  <c r="M54" i="28"/>
  <c r="N54" i="28"/>
  <c r="J56" i="28"/>
  <c r="J20" i="28"/>
  <c r="H10" i="25"/>
  <c r="N24" i="63"/>
  <c r="E20" i="66"/>
  <c r="N27" i="63"/>
  <c r="E23" i="66"/>
  <c r="I23" i="66"/>
  <c r="N31" i="63"/>
  <c r="D30" i="32"/>
  <c r="E38" i="61"/>
  <c r="G49" i="70"/>
  <c r="F17" i="52"/>
  <c r="E38" i="69"/>
  <c r="E30" i="69"/>
  <c r="M37" i="67"/>
  <c r="J87" i="64"/>
  <c r="H43" i="64"/>
  <c r="J86" i="64"/>
  <c r="H45" i="64"/>
  <c r="H85" i="64"/>
  <c r="J52" i="64"/>
  <c r="H84" i="64"/>
  <c r="H83" i="64"/>
  <c r="J94" i="64"/>
  <c r="J82" i="64"/>
  <c r="J83" i="64"/>
  <c r="J81" i="64"/>
  <c r="H92" i="64"/>
  <c r="M92" i="64"/>
  <c r="U92" i="64"/>
  <c r="H78" i="64"/>
  <c r="M78" i="64"/>
  <c r="E88" i="64"/>
  <c r="E87" i="64"/>
  <c r="E86" i="64"/>
  <c r="E83" i="64"/>
  <c r="E81" i="64"/>
  <c r="O81" i="64"/>
  <c r="W81" i="64"/>
  <c r="C80" i="64"/>
  <c r="E79" i="64"/>
  <c r="C78" i="64"/>
  <c r="E76" i="64"/>
  <c r="C74" i="64"/>
  <c r="E73" i="64"/>
  <c r="O73" i="64"/>
  <c r="W73" i="64"/>
  <c r="C72" i="64"/>
  <c r="M72" i="64"/>
  <c r="U72" i="64"/>
  <c r="C71" i="64"/>
  <c r="M71" i="64"/>
  <c r="U71" i="64"/>
  <c r="M22" i="67"/>
  <c r="G22" i="67"/>
  <c r="G27" i="67"/>
  <c r="I22" i="67"/>
  <c r="I27" i="67"/>
  <c r="O96" i="64"/>
  <c r="W96" i="64"/>
  <c r="M93" i="64"/>
  <c r="Q93" i="64"/>
  <c r="O87" i="64"/>
  <c r="W87" i="64"/>
  <c r="O86" i="64"/>
  <c r="W86" i="64"/>
  <c r="U78" i="64"/>
  <c r="H51" i="64"/>
  <c r="M80" i="64"/>
  <c r="U80" i="64"/>
  <c r="N40" i="63"/>
  <c r="E35" i="66"/>
  <c r="L52" i="63"/>
  <c r="H52" i="63"/>
  <c r="F52" i="63"/>
  <c r="D52" i="63"/>
  <c r="J42" i="63"/>
  <c r="H42" i="63"/>
  <c r="J29" i="63"/>
  <c r="K30" i="61"/>
  <c r="K38" i="61"/>
  <c r="K40" i="61"/>
  <c r="K41" i="61"/>
  <c r="I37" i="61"/>
  <c r="M37" i="61"/>
  <c r="J48" i="60"/>
  <c r="J52" i="60"/>
  <c r="H52" i="60"/>
  <c r="L52" i="60"/>
  <c r="F52" i="60"/>
  <c r="C47" i="64"/>
  <c r="M47" i="64"/>
  <c r="Q47" i="64"/>
  <c r="F12" i="54"/>
  <c r="F27" i="50"/>
  <c r="F16" i="50"/>
  <c r="F18" i="50"/>
  <c r="X61" i="28"/>
  <c r="V61" i="28"/>
  <c r="M61" i="28"/>
  <c r="P61" i="28"/>
  <c r="T61" i="28"/>
  <c r="I40" i="66"/>
  <c r="M43" i="26"/>
  <c r="N43" i="26"/>
  <c r="V43" i="26"/>
  <c r="R43" i="26"/>
  <c r="T43" i="26"/>
  <c r="E42" i="70"/>
  <c r="G39" i="66"/>
  <c r="I39" i="66"/>
  <c r="N48" i="63"/>
  <c r="N61" i="28"/>
  <c r="R61" i="28"/>
  <c r="C19" i="69"/>
  <c r="P43" i="26"/>
  <c r="X43" i="26"/>
  <c r="I20" i="66"/>
  <c r="D27" i="33"/>
  <c r="E37" i="31"/>
  <c r="F27" i="33"/>
  <c r="F37" i="33"/>
  <c r="D37" i="33"/>
  <c r="F17" i="33"/>
  <c r="F28" i="33"/>
  <c r="F39" i="33"/>
  <c r="F42" i="33"/>
  <c r="D17" i="33"/>
  <c r="D28" i="33"/>
  <c r="N49" i="63"/>
  <c r="I48" i="66"/>
  <c r="N50" i="63"/>
  <c r="I52" i="66"/>
  <c r="N51" i="63"/>
  <c r="I49" i="66"/>
  <c r="D39" i="33"/>
  <c r="D42" i="33"/>
  <c r="N46" i="63"/>
  <c r="J44" i="30"/>
  <c r="E44" i="30"/>
  <c r="C44" i="30"/>
  <c r="E4" i="30"/>
  <c r="X42" i="30"/>
  <c r="V42" i="30"/>
  <c r="T42" i="30"/>
  <c r="R42" i="30"/>
  <c r="M42" i="30"/>
  <c r="P42" i="30"/>
  <c r="X40" i="30"/>
  <c r="V40" i="30"/>
  <c r="T40" i="30"/>
  <c r="R40" i="30"/>
  <c r="M40" i="30"/>
  <c r="N40" i="30"/>
  <c r="P40" i="30"/>
  <c r="X38" i="30"/>
  <c r="V38" i="30"/>
  <c r="M38" i="30"/>
  <c r="N38" i="30"/>
  <c r="R38" i="30"/>
  <c r="X35" i="30"/>
  <c r="V35" i="30"/>
  <c r="M35" i="30"/>
  <c r="P35" i="30"/>
  <c r="T35" i="30"/>
  <c r="T33" i="30"/>
  <c r="R33" i="30"/>
  <c r="M33" i="30"/>
  <c r="N33" i="30"/>
  <c r="V33" i="30"/>
  <c r="X31" i="30"/>
  <c r="V31" i="30"/>
  <c r="T29" i="30"/>
  <c r="R29" i="30"/>
  <c r="M29" i="30"/>
  <c r="N29" i="30"/>
  <c r="V29" i="30"/>
  <c r="X27" i="30"/>
  <c r="V27" i="30"/>
  <c r="M27" i="30"/>
  <c r="P27" i="30"/>
  <c r="T27" i="30"/>
  <c r="X25" i="30"/>
  <c r="V25" i="30"/>
  <c r="M25" i="30"/>
  <c r="P25" i="30"/>
  <c r="T25" i="30"/>
  <c r="X23" i="30"/>
  <c r="V23" i="30"/>
  <c r="M23" i="30"/>
  <c r="T21" i="30"/>
  <c r="R21" i="30"/>
  <c r="M21" i="30"/>
  <c r="P21" i="30"/>
  <c r="X21" i="30"/>
  <c r="N21" i="30"/>
  <c r="T19" i="30"/>
  <c r="R19" i="30"/>
  <c r="M19" i="30"/>
  <c r="P19" i="30"/>
  <c r="X19" i="30"/>
  <c r="T17" i="30"/>
  <c r="R17" i="30"/>
  <c r="M17" i="30"/>
  <c r="N17" i="30"/>
  <c r="V17" i="30"/>
  <c r="T14" i="30"/>
  <c r="R14" i="30"/>
  <c r="M14" i="30"/>
  <c r="N14" i="30"/>
  <c r="P14" i="30"/>
  <c r="T9" i="30"/>
  <c r="R9" i="30"/>
  <c r="M9" i="30"/>
  <c r="N9" i="30"/>
  <c r="C4" i="30"/>
  <c r="J43" i="29"/>
  <c r="J4" i="29"/>
  <c r="H43" i="29"/>
  <c r="E43" i="29"/>
  <c r="C43" i="29"/>
  <c r="X41" i="29"/>
  <c r="V41" i="29"/>
  <c r="T41" i="29"/>
  <c r="R41" i="29"/>
  <c r="M41" i="29"/>
  <c r="P41" i="29"/>
  <c r="X39" i="29"/>
  <c r="V39" i="29"/>
  <c r="M39" i="29"/>
  <c r="N39" i="29"/>
  <c r="R39" i="29"/>
  <c r="D11" i="52"/>
  <c r="E19" i="69"/>
  <c r="T37" i="29"/>
  <c r="R37" i="29"/>
  <c r="M37" i="29"/>
  <c r="P37" i="29"/>
  <c r="X37" i="29"/>
  <c r="D25" i="54"/>
  <c r="X35" i="29"/>
  <c r="V35" i="29"/>
  <c r="M35" i="29"/>
  <c r="R35" i="29"/>
  <c r="D13" i="52"/>
  <c r="X33" i="29"/>
  <c r="V33" i="29"/>
  <c r="M33" i="29"/>
  <c r="T33" i="29"/>
  <c r="X30" i="29"/>
  <c r="V30" i="29"/>
  <c r="M30" i="29"/>
  <c r="N30" i="29"/>
  <c r="R30" i="29"/>
  <c r="D10" i="52"/>
  <c r="F13" i="52"/>
  <c r="T28" i="29"/>
  <c r="R28" i="29"/>
  <c r="M28" i="29"/>
  <c r="P28" i="29"/>
  <c r="X28" i="29"/>
  <c r="X26" i="29"/>
  <c r="V26" i="29"/>
  <c r="M26" i="29"/>
  <c r="R26" i="29"/>
  <c r="X24" i="29"/>
  <c r="V24" i="29"/>
  <c r="M24" i="29"/>
  <c r="P24" i="29"/>
  <c r="T24" i="29"/>
  <c r="T22" i="29"/>
  <c r="R22" i="29"/>
  <c r="M22" i="29"/>
  <c r="N22" i="29"/>
  <c r="V22" i="29"/>
  <c r="T20" i="29"/>
  <c r="R20" i="29"/>
  <c r="M20" i="29"/>
  <c r="P20" i="29"/>
  <c r="X20" i="29"/>
  <c r="T18" i="29"/>
  <c r="R18" i="29"/>
  <c r="M18" i="29"/>
  <c r="P18" i="29"/>
  <c r="V18" i="29"/>
  <c r="T16" i="29"/>
  <c r="R16" i="29"/>
  <c r="M16" i="29"/>
  <c r="P16" i="29"/>
  <c r="X16" i="29"/>
  <c r="T14" i="29"/>
  <c r="R14" i="29"/>
  <c r="M14" i="29"/>
  <c r="N14" i="29"/>
  <c r="V14" i="29"/>
  <c r="D23" i="54"/>
  <c r="T12" i="29"/>
  <c r="R12" i="29"/>
  <c r="M12" i="29"/>
  <c r="P12" i="29"/>
  <c r="X12" i="29"/>
  <c r="T9" i="29"/>
  <c r="R9" i="29"/>
  <c r="M9" i="29"/>
  <c r="E90" i="28"/>
  <c r="C90" i="28"/>
  <c r="X88" i="28"/>
  <c r="V88" i="28"/>
  <c r="T88" i="28"/>
  <c r="R88" i="28"/>
  <c r="M88" i="28"/>
  <c r="P88" i="28"/>
  <c r="T86" i="28"/>
  <c r="R86" i="28"/>
  <c r="M86" i="28"/>
  <c r="T84" i="28"/>
  <c r="R84" i="28"/>
  <c r="M84" i="28"/>
  <c r="P84" i="28"/>
  <c r="X84" i="28"/>
  <c r="X82" i="28"/>
  <c r="V82" i="28"/>
  <c r="M82" i="28"/>
  <c r="N82" i="28"/>
  <c r="R82" i="28"/>
  <c r="X80" i="28"/>
  <c r="V80" i="28"/>
  <c r="M80" i="28"/>
  <c r="P80" i="28"/>
  <c r="T80" i="28"/>
  <c r="X78" i="28"/>
  <c r="V78" i="28"/>
  <c r="M78" i="28"/>
  <c r="X76" i="28"/>
  <c r="V76" i="28"/>
  <c r="M76" i="28"/>
  <c r="X73" i="28"/>
  <c r="V73" i="28"/>
  <c r="M73" i="28"/>
  <c r="N73" i="28"/>
  <c r="R73" i="28"/>
  <c r="C29" i="69"/>
  <c r="X71" i="28"/>
  <c r="V71" i="28"/>
  <c r="M71" i="28"/>
  <c r="X69" i="28"/>
  <c r="V69" i="28"/>
  <c r="M69" i="28"/>
  <c r="N69" i="28"/>
  <c r="R69" i="28"/>
  <c r="T67" i="28"/>
  <c r="R67" i="28"/>
  <c r="M67" i="28"/>
  <c r="N67" i="28"/>
  <c r="V67" i="28"/>
  <c r="P67" i="28"/>
  <c r="X67" i="28"/>
  <c r="D42" i="50"/>
  <c r="X65" i="28"/>
  <c r="V65" i="28"/>
  <c r="M65" i="28"/>
  <c r="C22" i="69"/>
  <c r="T63" i="28"/>
  <c r="R63" i="28"/>
  <c r="M63" i="28"/>
  <c r="P63" i="28"/>
  <c r="X63" i="28"/>
  <c r="X58" i="28"/>
  <c r="V58" i="28"/>
  <c r="M58" i="28"/>
  <c r="N58" i="28"/>
  <c r="R58" i="28"/>
  <c r="X56" i="28"/>
  <c r="V56" i="28"/>
  <c r="M56" i="28"/>
  <c r="C13" i="69"/>
  <c r="X54" i="28"/>
  <c r="V54" i="28"/>
  <c r="R54" i="28"/>
  <c r="T52" i="28"/>
  <c r="R52" i="28"/>
  <c r="M52" i="28"/>
  <c r="T50" i="28"/>
  <c r="R50" i="28"/>
  <c r="M50" i="28"/>
  <c r="N50" i="28"/>
  <c r="V50" i="28"/>
  <c r="T46" i="28"/>
  <c r="R46" i="28"/>
  <c r="M46" i="28"/>
  <c r="T44" i="28"/>
  <c r="R44" i="28"/>
  <c r="M44" i="28"/>
  <c r="T42" i="28"/>
  <c r="R42" i="28"/>
  <c r="M42" i="28"/>
  <c r="N42" i="28"/>
  <c r="V42" i="28"/>
  <c r="T40" i="28"/>
  <c r="R40" i="28"/>
  <c r="M40" i="28"/>
  <c r="N40" i="28"/>
  <c r="V40" i="28"/>
  <c r="T38" i="28"/>
  <c r="R38" i="28"/>
  <c r="M38" i="28"/>
  <c r="N38" i="28"/>
  <c r="V38" i="28"/>
  <c r="P38" i="28"/>
  <c r="X38" i="28"/>
  <c r="T36" i="28"/>
  <c r="R36" i="28"/>
  <c r="M36" i="28"/>
  <c r="T34" i="28"/>
  <c r="R34" i="28"/>
  <c r="M34" i="28"/>
  <c r="N34" i="28"/>
  <c r="V34" i="28"/>
  <c r="T32" i="28"/>
  <c r="R32" i="28"/>
  <c r="M32" i="28"/>
  <c r="N32" i="28"/>
  <c r="V32" i="28"/>
  <c r="T30" i="28"/>
  <c r="R30" i="28"/>
  <c r="M30" i="28"/>
  <c r="P30" i="28"/>
  <c r="X30" i="28"/>
  <c r="T28" i="28"/>
  <c r="R28" i="28"/>
  <c r="M28" i="28"/>
  <c r="T26" i="28"/>
  <c r="R26" i="28"/>
  <c r="M26" i="28"/>
  <c r="P26" i="28"/>
  <c r="X26" i="28"/>
  <c r="T24" i="28"/>
  <c r="R24" i="28"/>
  <c r="M24" i="28"/>
  <c r="N24" i="28"/>
  <c r="V24" i="28"/>
  <c r="T22" i="28"/>
  <c r="R22" i="28"/>
  <c r="M22" i="28"/>
  <c r="T20" i="28"/>
  <c r="R20" i="28"/>
  <c r="M20" i="28"/>
  <c r="T17" i="28"/>
  <c r="R17" i="28"/>
  <c r="T9" i="28"/>
  <c r="R9" i="28"/>
  <c r="M9" i="28"/>
  <c r="E4" i="28"/>
  <c r="H4" i="29"/>
  <c r="D24" i="53"/>
  <c r="C38" i="69"/>
  <c r="E30" i="70"/>
  <c r="E47" i="70"/>
  <c r="G47" i="66"/>
  <c r="F20" i="48"/>
  <c r="G22" i="66"/>
  <c r="E29" i="70"/>
  <c r="E32" i="70"/>
  <c r="E33" i="70"/>
  <c r="E34" i="70"/>
  <c r="G21" i="66"/>
  <c r="E31" i="70"/>
  <c r="G24" i="66"/>
  <c r="I24" i="66"/>
  <c r="C34" i="69"/>
  <c r="M34" i="67"/>
  <c r="F13" i="50"/>
  <c r="E25" i="70"/>
  <c r="G18" i="66"/>
  <c r="I18" i="66"/>
  <c r="D9" i="48"/>
  <c r="D22" i="48"/>
  <c r="F49" i="50"/>
  <c r="F50" i="50"/>
  <c r="C18" i="69"/>
  <c r="E39" i="70"/>
  <c r="G35" i="66"/>
  <c r="B16" i="48"/>
  <c r="V37" i="29"/>
  <c r="R33" i="29"/>
  <c r="D12" i="52"/>
  <c r="E20" i="69"/>
  <c r="N28" i="29"/>
  <c r="V28" i="29"/>
  <c r="D10" i="53"/>
  <c r="H98" i="64"/>
  <c r="J98" i="64"/>
  <c r="N24" i="29"/>
  <c r="R24" i="29"/>
  <c r="N20" i="29"/>
  <c r="V20" i="29"/>
  <c r="N16" i="29"/>
  <c r="V16" i="29"/>
  <c r="D15" i="53"/>
  <c r="H74" i="64"/>
  <c r="M74" i="64"/>
  <c r="U74" i="64"/>
  <c r="N12" i="29"/>
  <c r="V12" i="29"/>
  <c r="V9" i="30"/>
  <c r="P9" i="30"/>
  <c r="P17" i="30"/>
  <c r="X17" i="30"/>
  <c r="N19" i="30"/>
  <c r="V19" i="30"/>
  <c r="N27" i="30"/>
  <c r="R27" i="30"/>
  <c r="P29" i="30"/>
  <c r="X29" i="30"/>
  <c r="P33" i="30"/>
  <c r="X33" i="30"/>
  <c r="N35" i="30"/>
  <c r="R35" i="30"/>
  <c r="P38" i="30"/>
  <c r="T38" i="30"/>
  <c r="N42" i="30"/>
  <c r="V9" i="29"/>
  <c r="D8" i="53"/>
  <c r="H9" i="64"/>
  <c r="P14" i="29"/>
  <c r="X14" i="29"/>
  <c r="X18" i="29"/>
  <c r="D16" i="53"/>
  <c r="F26" i="63"/>
  <c r="F17" i="53"/>
  <c r="G29" i="70"/>
  <c r="G32" i="70"/>
  <c r="P22" i="29"/>
  <c r="X22" i="29"/>
  <c r="T26" i="29"/>
  <c r="P30" i="29"/>
  <c r="T30" i="29"/>
  <c r="T43" i="29"/>
  <c r="T35" i="29"/>
  <c r="P39" i="29"/>
  <c r="T39" i="29"/>
  <c r="N41" i="29"/>
  <c r="N84" i="28"/>
  <c r="V84" i="28"/>
  <c r="N80" i="28"/>
  <c r="R80" i="28"/>
  <c r="N63" i="28"/>
  <c r="V63" i="28"/>
  <c r="F21" i="50"/>
  <c r="N30" i="28"/>
  <c r="V30" i="28"/>
  <c r="N26" i="28"/>
  <c r="V26" i="28"/>
  <c r="P24" i="28"/>
  <c r="X24" i="28"/>
  <c r="P32" i="28"/>
  <c r="X32" i="28"/>
  <c r="P40" i="28"/>
  <c r="X40" i="28"/>
  <c r="D40" i="50"/>
  <c r="P50" i="28"/>
  <c r="X50" i="28"/>
  <c r="P54" i="28"/>
  <c r="T54" i="28"/>
  <c r="P58" i="28"/>
  <c r="T58" i="28"/>
  <c r="P69" i="28"/>
  <c r="T69" i="28"/>
  <c r="P73" i="28"/>
  <c r="T73" i="28"/>
  <c r="P82" i="28"/>
  <c r="T82" i="28"/>
  <c r="G14" i="70"/>
  <c r="G16" i="70"/>
  <c r="C21" i="69"/>
  <c r="C28" i="69"/>
  <c r="C30" i="69"/>
  <c r="M33" i="67"/>
  <c r="M35" i="67"/>
  <c r="F22" i="50"/>
  <c r="E14" i="70"/>
  <c r="E21" i="70"/>
  <c r="G8" i="66"/>
  <c r="B9" i="48"/>
  <c r="F48" i="50"/>
  <c r="E41" i="70"/>
  <c r="G33" i="66"/>
  <c r="B18" i="48"/>
  <c r="C12" i="69"/>
  <c r="C15" i="69"/>
  <c r="F23" i="50"/>
  <c r="E28" i="70"/>
  <c r="G19" i="66"/>
  <c r="C20" i="69"/>
  <c r="E40" i="70"/>
  <c r="B17" i="48"/>
  <c r="E15" i="70"/>
  <c r="G13" i="66"/>
  <c r="G26" i="66"/>
  <c r="G62" i="66"/>
  <c r="B11" i="48"/>
  <c r="E48" i="70"/>
  <c r="G51" i="66"/>
  <c r="I51" i="66"/>
  <c r="B21" i="48"/>
  <c r="V14" i="30"/>
  <c r="X9" i="30"/>
  <c r="X9" i="29"/>
  <c r="J49" i="26"/>
  <c r="J4" i="26"/>
  <c r="E49" i="26"/>
  <c r="C49" i="26"/>
  <c r="E4" i="26"/>
  <c r="T45" i="26"/>
  <c r="M45" i="26"/>
  <c r="P45" i="26"/>
  <c r="X45" i="26"/>
  <c r="T41" i="26"/>
  <c r="R41" i="26"/>
  <c r="M41" i="26"/>
  <c r="N41" i="26"/>
  <c r="P41" i="26"/>
  <c r="X41" i="26"/>
  <c r="T39" i="26"/>
  <c r="R39" i="26"/>
  <c r="M39" i="26"/>
  <c r="N39" i="26"/>
  <c r="V39" i="26"/>
  <c r="T37" i="26"/>
  <c r="R37" i="26"/>
  <c r="M37" i="26"/>
  <c r="T35" i="26"/>
  <c r="R35" i="26"/>
  <c r="M35" i="26"/>
  <c r="N35" i="26"/>
  <c r="V35" i="26"/>
  <c r="T31" i="26"/>
  <c r="R31" i="26"/>
  <c r="T28" i="26"/>
  <c r="R28" i="26"/>
  <c r="M28" i="26"/>
  <c r="M25" i="26"/>
  <c r="T25" i="26"/>
  <c r="M23" i="26"/>
  <c r="T23" i="26"/>
  <c r="M21" i="26"/>
  <c r="R21" i="26"/>
  <c r="M19" i="26"/>
  <c r="N19" i="26"/>
  <c r="V19" i="26"/>
  <c r="R19" i="26"/>
  <c r="M16" i="26"/>
  <c r="P16" i="26"/>
  <c r="X16" i="26"/>
  <c r="T16" i="26"/>
  <c r="M14" i="26"/>
  <c r="R14" i="26"/>
  <c r="R49" i="26"/>
  <c r="R50" i="26"/>
  <c r="M12" i="26"/>
  <c r="R12" i="26"/>
  <c r="M9" i="26"/>
  <c r="R9" i="26"/>
  <c r="M32" i="25"/>
  <c r="J49" i="25"/>
  <c r="H49" i="25"/>
  <c r="H4" i="25"/>
  <c r="E49" i="25"/>
  <c r="C49" i="25"/>
  <c r="C4" i="25"/>
  <c r="X47" i="25"/>
  <c r="V47" i="25"/>
  <c r="T47" i="25"/>
  <c r="R47" i="25"/>
  <c r="M47" i="25"/>
  <c r="X45" i="25"/>
  <c r="V45" i="25"/>
  <c r="M45" i="25"/>
  <c r="N45" i="25"/>
  <c r="R45" i="25"/>
  <c r="J30" i="60"/>
  <c r="X43" i="25"/>
  <c r="V43" i="25"/>
  <c r="M43" i="25"/>
  <c r="X40" i="25"/>
  <c r="V40" i="25"/>
  <c r="M40" i="25"/>
  <c r="P40" i="25"/>
  <c r="N40" i="25"/>
  <c r="R40" i="25"/>
  <c r="X37" i="25"/>
  <c r="V37" i="25"/>
  <c r="M37" i="25"/>
  <c r="P37" i="25"/>
  <c r="T37" i="25"/>
  <c r="J11" i="60"/>
  <c r="X34" i="25"/>
  <c r="V34" i="25"/>
  <c r="M34" i="25"/>
  <c r="T32" i="25"/>
  <c r="R32" i="25"/>
  <c r="T29" i="25"/>
  <c r="R29" i="25"/>
  <c r="M29" i="25"/>
  <c r="N29" i="25"/>
  <c r="V29" i="25"/>
  <c r="T27" i="25"/>
  <c r="R27" i="25"/>
  <c r="M27" i="25"/>
  <c r="P27" i="25"/>
  <c r="X27" i="25"/>
  <c r="T25" i="25"/>
  <c r="R25" i="25"/>
  <c r="M25" i="25"/>
  <c r="N25" i="25"/>
  <c r="V25" i="25"/>
  <c r="T23" i="25"/>
  <c r="R23" i="25"/>
  <c r="M23" i="25"/>
  <c r="P23" i="25"/>
  <c r="X23" i="25"/>
  <c r="T20" i="25"/>
  <c r="R20" i="25"/>
  <c r="M20" i="25"/>
  <c r="N20" i="25"/>
  <c r="V20" i="25"/>
  <c r="T18" i="25"/>
  <c r="R18" i="25"/>
  <c r="M18" i="25"/>
  <c r="T15" i="25"/>
  <c r="R15" i="25"/>
  <c r="M15" i="25"/>
  <c r="N15" i="25"/>
  <c r="V15" i="25"/>
  <c r="T13" i="25"/>
  <c r="R13" i="25"/>
  <c r="M13" i="25"/>
  <c r="P13" i="25"/>
  <c r="X13" i="25"/>
  <c r="T9" i="25"/>
  <c r="R9" i="25"/>
  <c r="M9" i="25"/>
  <c r="J40" i="22"/>
  <c r="H40" i="22"/>
  <c r="H4" i="22"/>
  <c r="E40" i="22"/>
  <c r="C40" i="22"/>
  <c r="T36" i="22"/>
  <c r="R36" i="22"/>
  <c r="X33" i="22"/>
  <c r="V33" i="22"/>
  <c r="M33" i="22"/>
  <c r="N33" i="22"/>
  <c r="P33" i="22"/>
  <c r="T33" i="22"/>
  <c r="X30" i="22"/>
  <c r="V30" i="22"/>
  <c r="T30" i="22"/>
  <c r="R30" i="22"/>
  <c r="M30" i="22"/>
  <c r="N30" i="22"/>
  <c r="P30" i="22"/>
  <c r="X27" i="22"/>
  <c r="V27" i="22"/>
  <c r="T27" i="22"/>
  <c r="R27" i="22"/>
  <c r="M27" i="22"/>
  <c r="N27" i="22"/>
  <c r="X25" i="22"/>
  <c r="V25" i="22"/>
  <c r="M25" i="22"/>
  <c r="N25" i="22"/>
  <c r="R25" i="22"/>
  <c r="D10" i="38"/>
  <c r="X23" i="22"/>
  <c r="V23" i="22"/>
  <c r="M23" i="22"/>
  <c r="N23" i="22"/>
  <c r="T23" i="22"/>
  <c r="D18" i="38"/>
  <c r="H41" i="60"/>
  <c r="L41" i="60"/>
  <c r="X21" i="22"/>
  <c r="V21" i="22"/>
  <c r="M21" i="22"/>
  <c r="T21" i="22"/>
  <c r="D17" i="38"/>
  <c r="H40" i="60"/>
  <c r="L40" i="60"/>
  <c r="X19" i="22"/>
  <c r="V19" i="22"/>
  <c r="M19" i="22"/>
  <c r="P19" i="22"/>
  <c r="R19" i="22"/>
  <c r="X17" i="22"/>
  <c r="V17" i="22"/>
  <c r="M17" i="22"/>
  <c r="R17" i="22"/>
  <c r="X15" i="22"/>
  <c r="V15" i="22"/>
  <c r="T15" i="22"/>
  <c r="R15" i="22"/>
  <c r="M15" i="22"/>
  <c r="N15" i="22"/>
  <c r="X13" i="22"/>
  <c r="V13" i="22"/>
  <c r="V40" i="22"/>
  <c r="T13" i="22"/>
  <c r="R13" i="22"/>
  <c r="M13" i="22"/>
  <c r="P13" i="22"/>
  <c r="N13" i="22"/>
  <c r="T9" i="22"/>
  <c r="R9" i="22"/>
  <c r="M9" i="22"/>
  <c r="N9" i="22"/>
  <c r="P9" i="22"/>
  <c r="V40" i="21"/>
  <c r="J39" i="21"/>
  <c r="H39" i="21"/>
  <c r="E39" i="21"/>
  <c r="C39" i="21"/>
  <c r="E4" i="21"/>
  <c r="X37" i="21"/>
  <c r="V37" i="21"/>
  <c r="T37" i="21"/>
  <c r="R37" i="21"/>
  <c r="M37" i="21"/>
  <c r="N37" i="21"/>
  <c r="X35" i="21"/>
  <c r="V35" i="21"/>
  <c r="M35" i="21"/>
  <c r="P35" i="21"/>
  <c r="T35" i="21"/>
  <c r="X32" i="21"/>
  <c r="V32" i="21"/>
  <c r="M32" i="21"/>
  <c r="X28" i="21"/>
  <c r="V28" i="21"/>
  <c r="M28" i="21"/>
  <c r="P28" i="21"/>
  <c r="T28" i="21"/>
  <c r="X26" i="21"/>
  <c r="V26" i="21"/>
  <c r="T26" i="21"/>
  <c r="R26" i="21"/>
  <c r="M26" i="21"/>
  <c r="N26" i="21"/>
  <c r="X24" i="21"/>
  <c r="V24" i="21"/>
  <c r="T24" i="21"/>
  <c r="R24" i="21"/>
  <c r="M24" i="21"/>
  <c r="X22" i="21"/>
  <c r="V22" i="21"/>
  <c r="T22" i="21"/>
  <c r="R22" i="21"/>
  <c r="M22" i="21"/>
  <c r="N22" i="21"/>
  <c r="T20" i="21"/>
  <c r="R20" i="21"/>
  <c r="M20" i="21"/>
  <c r="T18" i="21"/>
  <c r="R18" i="21"/>
  <c r="M18" i="21"/>
  <c r="T15" i="21"/>
  <c r="R15" i="21"/>
  <c r="M15" i="21"/>
  <c r="P15" i="21"/>
  <c r="X15" i="21"/>
  <c r="T13" i="21"/>
  <c r="R13" i="21"/>
  <c r="M13" i="21"/>
  <c r="G13" i="61"/>
  <c r="M13" i="61"/>
  <c r="D14" i="63"/>
  <c r="N14" i="63"/>
  <c r="E12" i="66"/>
  <c r="I12" i="66"/>
  <c r="C12" i="64"/>
  <c r="M12" i="64"/>
  <c r="T9" i="21"/>
  <c r="R9" i="21"/>
  <c r="M9" i="21"/>
  <c r="H26" i="63"/>
  <c r="N26" i="63"/>
  <c r="E22" i="66"/>
  <c r="I22" i="66"/>
  <c r="D35" i="50"/>
  <c r="C25" i="67"/>
  <c r="K17" i="61"/>
  <c r="H4" i="21"/>
  <c r="J4" i="21"/>
  <c r="D28" i="53"/>
  <c r="G33" i="70"/>
  <c r="E46" i="70"/>
  <c r="E49" i="70"/>
  <c r="E50" i="70"/>
  <c r="G46" i="66"/>
  <c r="I46" i="66"/>
  <c r="D19" i="48"/>
  <c r="E20" i="70"/>
  <c r="G17" i="66"/>
  <c r="B13" i="48"/>
  <c r="E19" i="70"/>
  <c r="G11" i="66"/>
  <c r="I11" i="66"/>
  <c r="B12" i="48"/>
  <c r="E17" i="70"/>
  <c r="G9" i="66"/>
  <c r="B10" i="48"/>
  <c r="E25" i="67"/>
  <c r="M25" i="67"/>
  <c r="G49" i="51"/>
  <c r="F14" i="48"/>
  <c r="F22" i="48"/>
  <c r="E38" i="70"/>
  <c r="E43" i="70"/>
  <c r="G32" i="66"/>
  <c r="G53" i="66"/>
  <c r="B15" i="48"/>
  <c r="B22" i="48"/>
  <c r="K15" i="61"/>
  <c r="C68" i="64"/>
  <c r="E59" i="64"/>
  <c r="G23" i="61"/>
  <c r="F14" i="60"/>
  <c r="F16" i="60"/>
  <c r="U12" i="64"/>
  <c r="C4" i="21"/>
  <c r="M31" i="26"/>
  <c r="N31" i="26"/>
  <c r="V31" i="26"/>
  <c r="H49" i="26"/>
  <c r="H4" i="26"/>
  <c r="V41" i="26"/>
  <c r="P35" i="26"/>
  <c r="X35" i="26"/>
  <c r="C4" i="26"/>
  <c r="T9" i="26"/>
  <c r="T49" i="26"/>
  <c r="T50" i="26"/>
  <c r="N16" i="26"/>
  <c r="V16" i="26"/>
  <c r="P19" i="26"/>
  <c r="X19" i="26"/>
  <c r="P39" i="26"/>
  <c r="X39" i="26"/>
  <c r="N45" i="26"/>
  <c r="V45" i="26"/>
  <c r="P45" i="25"/>
  <c r="T45" i="25"/>
  <c r="P15" i="25"/>
  <c r="X15" i="25"/>
  <c r="P25" i="25"/>
  <c r="X25" i="25"/>
  <c r="N23" i="25"/>
  <c r="V23" i="25"/>
  <c r="E4" i="25"/>
  <c r="N13" i="25"/>
  <c r="V13" i="25"/>
  <c r="K11" i="61"/>
  <c r="P20" i="25"/>
  <c r="X20" i="25"/>
  <c r="N27" i="25"/>
  <c r="V27" i="25"/>
  <c r="P29" i="25"/>
  <c r="X29" i="25"/>
  <c r="N37" i="25"/>
  <c r="R37" i="25"/>
  <c r="T40" i="25"/>
  <c r="J15" i="60"/>
  <c r="J16" i="60"/>
  <c r="M36" i="22"/>
  <c r="N36" i="22"/>
  <c r="V36" i="22"/>
  <c r="R23" i="22"/>
  <c r="T17" i="22"/>
  <c r="E6" i="38"/>
  <c r="H14" i="60"/>
  <c r="H16" i="60"/>
  <c r="R33" i="22"/>
  <c r="D9" i="38"/>
  <c r="H27" i="60"/>
  <c r="T25" i="22"/>
  <c r="P15" i="22"/>
  <c r="V9" i="22"/>
  <c r="E7" i="39"/>
  <c r="T19" i="22"/>
  <c r="D16" i="38"/>
  <c r="P27" i="22"/>
  <c r="R21" i="22"/>
  <c r="P37" i="21"/>
  <c r="G26" i="61"/>
  <c r="N15" i="21"/>
  <c r="V15" i="21"/>
  <c r="F21" i="60"/>
  <c r="F33" i="60"/>
  <c r="P22" i="21"/>
  <c r="N28" i="21"/>
  <c r="R28" i="21"/>
  <c r="G50" i="51"/>
  <c r="G61" i="66"/>
  <c r="F32" i="50"/>
  <c r="E53" i="70"/>
  <c r="G56" i="66"/>
  <c r="K32" i="61"/>
  <c r="J29" i="60"/>
  <c r="K10" i="61"/>
  <c r="J10" i="60"/>
  <c r="K36" i="61"/>
  <c r="H59" i="64"/>
  <c r="O59" i="64"/>
  <c r="C54" i="64"/>
  <c r="J68" i="64"/>
  <c r="M68" i="64"/>
  <c r="N41" i="63"/>
  <c r="E24" i="64"/>
  <c r="O24" i="64"/>
  <c r="W24" i="64"/>
  <c r="C46" i="64"/>
  <c r="M46" i="64"/>
  <c r="Q46" i="64"/>
  <c r="F37" i="60"/>
  <c r="F48" i="60"/>
  <c r="T19" i="26"/>
  <c r="T12" i="26"/>
  <c r="R23" i="26"/>
  <c r="R45" i="26"/>
  <c r="R25" i="26"/>
  <c r="T21" i="26"/>
  <c r="T14" i="26"/>
  <c r="P31" i="26"/>
  <c r="X31" i="26"/>
  <c r="R16" i="26"/>
  <c r="P36" i="22"/>
  <c r="X36" i="22"/>
  <c r="E10" i="39"/>
  <c r="I25" i="61"/>
  <c r="X9" i="22"/>
  <c r="I51" i="51"/>
  <c r="E54" i="70"/>
  <c r="M95" i="64"/>
  <c r="U95" i="64"/>
  <c r="E60" i="66"/>
  <c r="I60" i="66"/>
  <c r="I10" i="61"/>
  <c r="I19" i="61"/>
  <c r="G10" i="61"/>
  <c r="G19" i="61"/>
  <c r="G38" i="61"/>
  <c r="G40" i="61"/>
  <c r="M141" i="2"/>
  <c r="N141" i="2"/>
  <c r="M139" i="2"/>
  <c r="P139" i="2"/>
  <c r="M137" i="2"/>
  <c r="M134" i="2"/>
  <c r="N134" i="2"/>
  <c r="R134" i="2"/>
  <c r="M132" i="2"/>
  <c r="N132" i="2"/>
  <c r="R132" i="2"/>
  <c r="X141" i="2"/>
  <c r="V141" i="2"/>
  <c r="T139" i="2"/>
  <c r="R139" i="2"/>
  <c r="X137" i="2"/>
  <c r="V137" i="2"/>
  <c r="X134" i="2"/>
  <c r="V134" i="2"/>
  <c r="M143" i="2"/>
  <c r="P143" i="2"/>
  <c r="M130" i="2"/>
  <c r="N130" i="2"/>
  <c r="R130" i="2"/>
  <c r="D32" i="31"/>
  <c r="M128" i="2"/>
  <c r="R128" i="2"/>
  <c r="D31" i="31"/>
  <c r="D46" i="60"/>
  <c r="L46" i="60"/>
  <c r="M126" i="2"/>
  <c r="N126" i="2"/>
  <c r="R126" i="2"/>
  <c r="M124" i="2"/>
  <c r="N124" i="2"/>
  <c r="R124" i="2"/>
  <c r="D30" i="31"/>
  <c r="D45" i="60"/>
  <c r="L45" i="60"/>
  <c r="M122" i="2"/>
  <c r="N122" i="2"/>
  <c r="V122" i="2"/>
  <c r="F16" i="32"/>
  <c r="E14" i="61"/>
  <c r="M14" i="61"/>
  <c r="C11" i="64"/>
  <c r="J11" i="64"/>
  <c r="M119" i="2"/>
  <c r="N119" i="2"/>
  <c r="R119" i="2"/>
  <c r="D22" i="31"/>
  <c r="H26" i="33"/>
  <c r="D27" i="60"/>
  <c r="L27" i="60"/>
  <c r="M117" i="2"/>
  <c r="V117" i="2"/>
  <c r="M111" i="2"/>
  <c r="N111" i="2"/>
  <c r="R111" i="2"/>
  <c r="D21" i="31"/>
  <c r="D24" i="60"/>
  <c r="H25" i="33"/>
  <c r="J25" i="33"/>
  <c r="M105" i="2"/>
  <c r="N105" i="2"/>
  <c r="R105" i="2"/>
  <c r="D20" i="31"/>
  <c r="M99" i="2"/>
  <c r="N99" i="2"/>
  <c r="M91" i="2"/>
  <c r="N91" i="2"/>
  <c r="R91" i="2"/>
  <c r="D18" i="31"/>
  <c r="H22" i="33"/>
  <c r="X143" i="2"/>
  <c r="V143" i="2"/>
  <c r="T143" i="2"/>
  <c r="R143" i="2"/>
  <c r="X132" i="2"/>
  <c r="V132" i="2"/>
  <c r="X130" i="2"/>
  <c r="V130" i="2"/>
  <c r="X128" i="2"/>
  <c r="V128" i="2"/>
  <c r="X126" i="2"/>
  <c r="V126" i="2"/>
  <c r="X124" i="2"/>
  <c r="V124" i="2"/>
  <c r="T122" i="2"/>
  <c r="R122" i="2"/>
  <c r="X119" i="2"/>
  <c r="V119" i="2"/>
  <c r="T117" i="2"/>
  <c r="R117" i="2"/>
  <c r="X111" i="2"/>
  <c r="V111" i="2"/>
  <c r="X105" i="2"/>
  <c r="V105" i="2"/>
  <c r="M9" i="2"/>
  <c r="P9" i="2"/>
  <c r="X9" i="2"/>
  <c r="M17" i="2"/>
  <c r="X17" i="2"/>
  <c r="R17" i="2"/>
  <c r="T17" i="2"/>
  <c r="M19" i="2"/>
  <c r="N19" i="2"/>
  <c r="V19" i="2"/>
  <c r="V9" i="2"/>
  <c r="V145" i="2"/>
  <c r="M22" i="2"/>
  <c r="X22" i="2"/>
  <c r="T22" i="2"/>
  <c r="M24" i="2"/>
  <c r="V24" i="2"/>
  <c r="D10" i="32"/>
  <c r="M28" i="2"/>
  <c r="N28" i="2"/>
  <c r="V28" i="2"/>
  <c r="M30" i="2"/>
  <c r="P30" i="2"/>
  <c r="N30" i="2"/>
  <c r="V30" i="2"/>
  <c r="D13" i="32"/>
  <c r="T30" i="2"/>
  <c r="M34" i="2"/>
  <c r="N34" i="2"/>
  <c r="T34" i="2"/>
  <c r="M36" i="2"/>
  <c r="V36" i="2"/>
  <c r="F9" i="32"/>
  <c r="D13" i="63"/>
  <c r="N13" i="63"/>
  <c r="M38" i="2"/>
  <c r="N38" i="2"/>
  <c r="V38" i="2"/>
  <c r="F15" i="32"/>
  <c r="M41" i="2"/>
  <c r="P41" i="2"/>
  <c r="N41" i="2"/>
  <c r="V41" i="2"/>
  <c r="M46" i="2"/>
  <c r="N46" i="2"/>
  <c r="V46" i="2"/>
  <c r="M48" i="2"/>
  <c r="V48" i="2"/>
  <c r="M51" i="2"/>
  <c r="N51" i="2"/>
  <c r="V51" i="2"/>
  <c r="M53" i="2"/>
  <c r="N53" i="2"/>
  <c r="V53" i="2"/>
  <c r="M55" i="2"/>
  <c r="P55" i="2"/>
  <c r="M57" i="2"/>
  <c r="N57" i="2"/>
  <c r="T57" i="2"/>
  <c r="X57" i="2"/>
  <c r="M59" i="2"/>
  <c r="N59" i="2"/>
  <c r="M61" i="2"/>
  <c r="P61" i="2"/>
  <c r="M66" i="2"/>
  <c r="P66" i="2"/>
  <c r="N66" i="2"/>
  <c r="M71" i="2"/>
  <c r="T71" i="2"/>
  <c r="D7" i="31"/>
  <c r="V71" i="2"/>
  <c r="X71" i="2"/>
  <c r="M74" i="2"/>
  <c r="N74" i="2"/>
  <c r="R74" i="2"/>
  <c r="M76" i="2"/>
  <c r="R76" i="2"/>
  <c r="X76" i="2"/>
  <c r="M78" i="2"/>
  <c r="N78" i="2"/>
  <c r="T78" i="2"/>
  <c r="D9" i="31"/>
  <c r="D12" i="60"/>
  <c r="L12" i="60"/>
  <c r="M80" i="2"/>
  <c r="P80" i="2"/>
  <c r="T80" i="2"/>
  <c r="D12" i="31"/>
  <c r="X80" i="2"/>
  <c r="M84" i="2"/>
  <c r="N84" i="2"/>
  <c r="R84" i="2"/>
  <c r="D17" i="31"/>
  <c r="X99" i="2"/>
  <c r="C145" i="2"/>
  <c r="E145" i="2"/>
  <c r="E4" i="2"/>
  <c r="H145" i="2"/>
  <c r="J4" i="2"/>
  <c r="J145" i="2"/>
  <c r="V80" i="2"/>
  <c r="X78" i="2"/>
  <c r="V91" i="2"/>
  <c r="R61" i="2"/>
  <c r="V61" i="2"/>
  <c r="R48" i="2"/>
  <c r="R41" i="2"/>
  <c r="R36" i="2"/>
  <c r="R30" i="2"/>
  <c r="V76" i="2"/>
  <c r="R57" i="2"/>
  <c r="V57" i="2"/>
  <c r="R24" i="2"/>
  <c r="V99" i="2"/>
  <c r="V78" i="2"/>
  <c r="R66" i="2"/>
  <c r="V66" i="2"/>
  <c r="R55" i="2"/>
  <c r="V55" i="2"/>
  <c r="R51" i="2"/>
  <c r="R38" i="2"/>
  <c r="R28" i="2"/>
  <c r="V84" i="2"/>
  <c r="V74" i="2"/>
  <c r="R59" i="2"/>
  <c r="V59" i="2"/>
  <c r="R53" i="2"/>
  <c r="R46" i="2"/>
  <c r="R34" i="2"/>
  <c r="V34" i="2"/>
  <c r="R22" i="2"/>
  <c r="T38" i="2"/>
  <c r="T46" i="2"/>
  <c r="X61" i="2"/>
  <c r="T61" i="2"/>
  <c r="T24" i="2"/>
  <c r="T36" i="2"/>
  <c r="T41" i="2"/>
  <c r="T48" i="2"/>
  <c r="T66" i="2"/>
  <c r="X66" i="2"/>
  <c r="X91" i="2"/>
  <c r="T28" i="2"/>
  <c r="T59" i="2"/>
  <c r="X59" i="2"/>
  <c r="X84" i="2"/>
  <c r="T53" i="2"/>
  <c r="X74" i="2"/>
  <c r="T51" i="2"/>
  <c r="X55" i="2"/>
  <c r="T55" i="2"/>
  <c r="T9" i="2"/>
  <c r="T19" i="2"/>
  <c r="R9" i="2"/>
  <c r="R19" i="2"/>
  <c r="L30" i="60"/>
  <c r="D31" i="62"/>
  <c r="H34" i="33"/>
  <c r="J34" i="33"/>
  <c r="D21" i="60"/>
  <c r="L21" i="60"/>
  <c r="D22" i="62"/>
  <c r="N22" i="62"/>
  <c r="C15" i="67"/>
  <c r="J22" i="33"/>
  <c r="C18" i="64"/>
  <c r="M18" i="64"/>
  <c r="U18" i="64"/>
  <c r="D23" i="60"/>
  <c r="L23" i="60"/>
  <c r="D24" i="62"/>
  <c r="N24" i="62"/>
  <c r="C17" i="67"/>
  <c r="H24" i="33"/>
  <c r="J24" i="33"/>
  <c r="D47" i="62"/>
  <c r="N47" i="62"/>
  <c r="H36" i="33"/>
  <c r="J36" i="33"/>
  <c r="P74" i="2"/>
  <c r="T74" i="2"/>
  <c r="D10" i="31"/>
  <c r="D13" i="60"/>
  <c r="L13" i="60"/>
  <c r="P53" i="2"/>
  <c r="X53" i="2"/>
  <c r="P111" i="2"/>
  <c r="T111" i="2"/>
  <c r="P137" i="2"/>
  <c r="T137" i="2"/>
  <c r="D28" i="31"/>
  <c r="H32" i="33"/>
  <c r="J32" i="33"/>
  <c r="D39" i="60"/>
  <c r="L39" i="60"/>
  <c r="D39" i="62"/>
  <c r="N39" i="62"/>
  <c r="N137" i="2"/>
  <c r="R137" i="2"/>
  <c r="P134" i="2"/>
  <c r="T134" i="2"/>
  <c r="D8" i="31"/>
  <c r="P124" i="2"/>
  <c r="T124" i="2"/>
  <c r="P19" i="2"/>
  <c r="X19" i="2"/>
  <c r="P122" i="2"/>
  <c r="X122" i="2"/>
  <c r="P132" i="2"/>
  <c r="T132" i="2"/>
  <c r="D27" i="31"/>
  <c r="P105" i="2"/>
  <c r="T105" i="2"/>
  <c r="T99" i="2"/>
  <c r="P130" i="2"/>
  <c r="T130" i="2"/>
  <c r="T128" i="2"/>
  <c r="P126" i="2"/>
  <c r="T126" i="2"/>
  <c r="P119" i="2"/>
  <c r="T119" i="2"/>
  <c r="X117" i="2"/>
  <c r="D24" i="32"/>
  <c r="E28" i="61"/>
  <c r="M28" i="61"/>
  <c r="E26" i="64"/>
  <c r="D39" i="63"/>
  <c r="L39" i="63"/>
  <c r="F7" i="32"/>
  <c r="E10" i="61"/>
  <c r="M10" i="61"/>
  <c r="X36" i="2"/>
  <c r="P28" i="2"/>
  <c r="X28" i="2"/>
  <c r="D11" i="32"/>
  <c r="E14" i="64"/>
  <c r="O14" i="64"/>
  <c r="W14" i="64"/>
  <c r="X41" i="2"/>
  <c r="D21" i="32"/>
  <c r="N80" i="2"/>
  <c r="R80" i="2"/>
  <c r="P59" i="2"/>
  <c r="X48" i="2"/>
  <c r="F26" i="32"/>
  <c r="E32" i="61"/>
  <c r="M32" i="61"/>
  <c r="E23" i="64"/>
  <c r="O23" i="64"/>
  <c r="R99" i="2"/>
  <c r="D19" i="31"/>
  <c r="D22" i="60"/>
  <c r="L22" i="60"/>
  <c r="R78" i="2"/>
  <c r="P34" i="2"/>
  <c r="X34" i="2"/>
  <c r="D14" i="32"/>
  <c r="E16" i="64"/>
  <c r="O16" i="64"/>
  <c r="W16" i="64"/>
  <c r="N61" i="2"/>
  <c r="V17" i="2"/>
  <c r="F8" i="32"/>
  <c r="E11" i="61"/>
  <c r="M11" i="61"/>
  <c r="C10" i="64"/>
  <c r="P84" i="2"/>
  <c r="T84" i="2"/>
  <c r="R71" i="2"/>
  <c r="V22" i="2"/>
  <c r="P51" i="2"/>
  <c r="X51" i="2"/>
  <c r="D23" i="32"/>
  <c r="E27" i="61"/>
  <c r="M27" i="61"/>
  <c r="E25" i="64"/>
  <c r="H25" i="64"/>
  <c r="P91" i="2"/>
  <c r="T91" i="2"/>
  <c r="T76" i="2"/>
  <c r="D11" i="31"/>
  <c r="P57" i="2"/>
  <c r="X30" i="2"/>
  <c r="P46" i="2"/>
  <c r="X46" i="2"/>
  <c r="D22" i="32"/>
  <c r="E24" i="61"/>
  <c r="M24" i="61"/>
  <c r="D35" i="63"/>
  <c r="P38" i="2"/>
  <c r="X38" i="2"/>
  <c r="X24" i="2"/>
  <c r="C51" i="64"/>
  <c r="C67" i="64"/>
  <c r="P141" i="2"/>
  <c r="T141" i="2"/>
  <c r="D29" i="31"/>
  <c r="R141" i="2"/>
  <c r="X139" i="2"/>
  <c r="N139" i="2"/>
  <c r="V139" i="2"/>
  <c r="F12" i="32"/>
  <c r="J67" i="64"/>
  <c r="M67" i="64"/>
  <c r="D20" i="63"/>
  <c r="N20" i="63"/>
  <c r="C17" i="64"/>
  <c r="M17" i="64"/>
  <c r="U17" i="64"/>
  <c r="O94" i="64"/>
  <c r="W94" i="64"/>
  <c r="N39" i="63"/>
  <c r="M11" i="64"/>
  <c r="E23" i="61"/>
  <c r="M23" i="61"/>
  <c r="D34" i="63"/>
  <c r="B8" i="68"/>
  <c r="E21" i="64"/>
  <c r="D12" i="63"/>
  <c r="N12" i="63"/>
  <c r="E9" i="66"/>
  <c r="I9" i="66"/>
  <c r="M10" i="64"/>
  <c r="U10" i="64"/>
  <c r="H21" i="33"/>
  <c r="H37" i="60"/>
  <c r="L37" i="60"/>
  <c r="P43" i="25"/>
  <c r="T43" i="25"/>
  <c r="N43" i="25"/>
  <c r="R43" i="25"/>
  <c r="C40" i="64"/>
  <c r="M40" i="64"/>
  <c r="Q40" i="64"/>
  <c r="J26" i="33"/>
  <c r="N55" i="2"/>
  <c r="P99" i="2"/>
  <c r="L24" i="60"/>
  <c r="D16" i="63"/>
  <c r="P20" i="21"/>
  <c r="X20" i="21"/>
  <c r="N20" i="21"/>
  <c r="V20" i="21"/>
  <c r="N13" i="21"/>
  <c r="V13" i="21"/>
  <c r="P13" i="21"/>
  <c r="X13" i="21"/>
  <c r="N34" i="25"/>
  <c r="R34" i="25"/>
  <c r="P34" i="25"/>
  <c r="T34" i="25"/>
  <c r="G53" i="70"/>
  <c r="E4" i="22"/>
  <c r="P18" i="25"/>
  <c r="N18" i="25"/>
  <c r="V18" i="25"/>
  <c r="P26" i="21"/>
  <c r="N35" i="21"/>
  <c r="R35" i="21"/>
  <c r="P23" i="22"/>
  <c r="P23" i="26"/>
  <c r="X23" i="26"/>
  <c r="N23" i="26"/>
  <c r="V23" i="26"/>
  <c r="N25" i="63"/>
  <c r="E21" i="66"/>
  <c r="P32" i="21"/>
  <c r="T32" i="21"/>
  <c r="T39" i="21"/>
  <c r="N32" i="21"/>
  <c r="R32" i="21"/>
  <c r="N28" i="28"/>
  <c r="V28" i="28"/>
  <c r="P28" i="28"/>
  <c r="X28" i="28"/>
  <c r="N9" i="29"/>
  <c r="P9" i="29"/>
  <c r="N26" i="29"/>
  <c r="P26" i="29"/>
  <c r="E18" i="69"/>
  <c r="E23" i="69"/>
  <c r="J77" i="64"/>
  <c r="O76" i="64"/>
  <c r="W76" i="64"/>
  <c r="F17" i="63"/>
  <c r="N20" i="28"/>
  <c r="V20" i="28"/>
  <c r="P20" i="28"/>
  <c r="X20" i="28"/>
  <c r="D41" i="50"/>
  <c r="F8" i="50"/>
  <c r="N86" i="28"/>
  <c r="V86" i="28"/>
  <c r="D38" i="50"/>
  <c r="P86" i="28"/>
  <c r="X86" i="28"/>
  <c r="E4" i="29"/>
  <c r="C4" i="29"/>
  <c r="P23" i="30"/>
  <c r="T23" i="30"/>
  <c r="N23" i="30"/>
  <c r="R23" i="30"/>
  <c r="N44" i="28"/>
  <c r="V44" i="28"/>
  <c r="P44" i="28"/>
  <c r="X44" i="28"/>
  <c r="D43" i="50"/>
  <c r="P71" i="28"/>
  <c r="T71" i="28"/>
  <c r="N71" i="28"/>
  <c r="R71" i="28"/>
  <c r="N78" i="28"/>
  <c r="R78" i="28"/>
  <c r="P78" i="28"/>
  <c r="T78" i="28"/>
  <c r="N18" i="29"/>
  <c r="E21" i="69"/>
  <c r="D20" i="54"/>
  <c r="H41" i="33"/>
  <c r="D52" i="60"/>
  <c r="H90" i="28"/>
  <c r="M17" i="28"/>
  <c r="M8" i="72"/>
  <c r="C13" i="72"/>
  <c r="M36" i="72"/>
  <c r="E38" i="72"/>
  <c r="E39" i="72"/>
  <c r="E40" i="72"/>
  <c r="N36" i="28"/>
  <c r="V36" i="28"/>
  <c r="P36" i="28"/>
  <c r="X36" i="28"/>
  <c r="P33" i="29"/>
  <c r="N33" i="29"/>
  <c r="N47" i="63"/>
  <c r="N52" i="63"/>
  <c r="J52" i="63"/>
  <c r="J55" i="63"/>
  <c r="B14" i="65"/>
  <c r="C19" i="74"/>
  <c r="C28" i="74"/>
  <c r="P17" i="28"/>
  <c r="N17" i="28"/>
  <c r="D25" i="62"/>
  <c r="N25" i="62"/>
  <c r="C18" i="67"/>
  <c r="K18" i="67"/>
  <c r="O18" i="67"/>
  <c r="C44" i="64"/>
  <c r="M44" i="64"/>
  <c r="Q44" i="64"/>
  <c r="J21" i="33"/>
  <c r="X18" i="25"/>
  <c r="J41" i="33"/>
  <c r="I21" i="66"/>
  <c r="H23" i="64"/>
  <c r="J88" i="64"/>
  <c r="V17" i="28"/>
  <c r="D37" i="50"/>
  <c r="X17" i="28"/>
  <c r="E20" i="64"/>
  <c r="E62" i="64"/>
  <c r="H62" i="64"/>
  <c r="O62" i="64"/>
  <c r="D13" i="62"/>
  <c r="E34" i="64"/>
  <c r="O34" i="64"/>
  <c r="S34" i="64"/>
  <c r="H15" i="33"/>
  <c r="J15" i="33"/>
  <c r="D14" i="60"/>
  <c r="L14" i="60"/>
  <c r="D11" i="63"/>
  <c r="C9" i="64"/>
  <c r="D46" i="62"/>
  <c r="C66" i="64"/>
  <c r="X44" i="30"/>
  <c r="C41" i="64"/>
  <c r="M41" i="64"/>
  <c r="Q41" i="64"/>
  <c r="D23" i="62"/>
  <c r="N23" i="62"/>
  <c r="C16" i="67"/>
  <c r="K16" i="67"/>
  <c r="O16" i="67"/>
  <c r="D14" i="62"/>
  <c r="N14" i="62"/>
  <c r="E15" i="67"/>
  <c r="E35" i="64"/>
  <c r="O35" i="64"/>
  <c r="S35" i="64"/>
  <c r="R51" i="26"/>
  <c r="X50" i="26"/>
  <c r="F11" i="32"/>
  <c r="E15" i="61"/>
  <c r="C13" i="64"/>
  <c r="M13" i="64"/>
  <c r="U13" i="64"/>
  <c r="V50" i="26"/>
  <c r="T51" i="26"/>
  <c r="T4" i="26"/>
  <c r="F34" i="60"/>
  <c r="F50" i="60"/>
  <c r="F53" i="60"/>
  <c r="E30" i="61"/>
  <c r="H23" i="33"/>
  <c r="X145" i="2"/>
  <c r="N128" i="2"/>
  <c r="P128" i="2"/>
  <c r="D41" i="62"/>
  <c r="E58" i="64"/>
  <c r="F7" i="50"/>
  <c r="H13" i="33"/>
  <c r="J13" i="33"/>
  <c r="N117" i="2"/>
  <c r="P117" i="2"/>
  <c r="N9" i="25"/>
  <c r="P9" i="25"/>
  <c r="H41" i="64"/>
  <c r="H23" i="62"/>
  <c r="O25" i="64"/>
  <c r="E33" i="31"/>
  <c r="H31" i="33"/>
  <c r="C15" i="64"/>
  <c r="M15" i="64"/>
  <c r="U15" i="64"/>
  <c r="F14" i="32"/>
  <c r="E17" i="61"/>
  <c r="M17" i="61"/>
  <c r="D21" i="63"/>
  <c r="N21" i="63"/>
  <c r="E16" i="66"/>
  <c r="I16" i="66"/>
  <c r="C48" i="64"/>
  <c r="D28" i="62"/>
  <c r="D45" i="62"/>
  <c r="C65" i="64"/>
  <c r="M26" i="61"/>
  <c r="G30" i="61"/>
  <c r="G41" i="61"/>
  <c r="M98" i="64"/>
  <c r="P40" i="22"/>
  <c r="D40" i="62"/>
  <c r="E57" i="64"/>
  <c r="N32" i="25"/>
  <c r="V32" i="25"/>
  <c r="P32" i="25"/>
  <c r="X32" i="25"/>
  <c r="P9" i="28"/>
  <c r="X9" i="28"/>
  <c r="N9" i="28"/>
  <c r="P46" i="28"/>
  <c r="N46" i="28"/>
  <c r="V46" i="28"/>
  <c r="X14" i="30"/>
  <c r="C36" i="73"/>
  <c r="B19" i="68"/>
  <c r="L34" i="62"/>
  <c r="H48" i="60"/>
  <c r="L16" i="63"/>
  <c r="N16" i="63"/>
  <c r="D8" i="54"/>
  <c r="D38" i="60"/>
  <c r="D11" i="60"/>
  <c r="L11" i="60"/>
  <c r="H12" i="33"/>
  <c r="J12" i="33"/>
  <c r="H4" i="2"/>
  <c r="P71" i="2"/>
  <c r="N71" i="2"/>
  <c r="M27" i="67"/>
  <c r="M36" i="67"/>
  <c r="M38" i="67"/>
  <c r="O25" i="67"/>
  <c r="P9" i="21"/>
  <c r="N9" i="21"/>
  <c r="N24" i="21"/>
  <c r="P24" i="21"/>
  <c r="N17" i="22"/>
  <c r="P17" i="22"/>
  <c r="T49" i="25"/>
  <c r="T50" i="25"/>
  <c r="N22" i="28"/>
  <c r="V22" i="28"/>
  <c r="D39" i="50"/>
  <c r="F9" i="50"/>
  <c r="P22" i="28"/>
  <c r="X22" i="28"/>
  <c r="P34" i="28"/>
  <c r="X34" i="28"/>
  <c r="P42" i="28"/>
  <c r="X42" i="28"/>
  <c r="J51" i="64"/>
  <c r="O83" i="64"/>
  <c r="W83" i="64"/>
  <c r="C26" i="72"/>
  <c r="M28" i="74"/>
  <c r="N17" i="2"/>
  <c r="P17" i="2"/>
  <c r="N37" i="26"/>
  <c r="V37" i="26"/>
  <c r="P37" i="26"/>
  <c r="X37" i="26"/>
  <c r="G41" i="70"/>
  <c r="F35" i="63"/>
  <c r="N35" i="63"/>
  <c r="E33" i="66"/>
  <c r="I33" i="66"/>
  <c r="V21" i="30"/>
  <c r="V44" i="30"/>
  <c r="P21" i="26"/>
  <c r="X21" i="26"/>
  <c r="N21" i="26"/>
  <c r="V21" i="26"/>
  <c r="H33" i="33"/>
  <c r="J33" i="33"/>
  <c r="D43" i="60"/>
  <c r="L43" i="60"/>
  <c r="H35" i="33"/>
  <c r="J35" i="33"/>
  <c r="N14" i="26"/>
  <c r="V14" i="26"/>
  <c r="P14" i="26"/>
  <c r="X14" i="26"/>
  <c r="R145" i="2"/>
  <c r="M30" i="61"/>
  <c r="L17" i="63"/>
  <c r="L18" i="63"/>
  <c r="N18" i="63"/>
  <c r="E13" i="66"/>
  <c r="I13" i="66"/>
  <c r="N88" i="28"/>
  <c r="D15" i="60"/>
  <c r="L15" i="60"/>
  <c r="H16" i="33"/>
  <c r="J16" i="33"/>
  <c r="J4" i="22"/>
  <c r="P21" i="22"/>
  <c r="N21" i="22"/>
  <c r="N40" i="22"/>
  <c r="N4" i="22"/>
  <c r="D22" i="54"/>
  <c r="D9" i="53"/>
  <c r="V43" i="29"/>
  <c r="D23" i="53"/>
  <c r="D24" i="54"/>
  <c r="D9" i="54"/>
  <c r="M31" i="72"/>
  <c r="M38" i="72"/>
  <c r="M39" i="72"/>
  <c r="C38" i="72"/>
  <c r="I28" i="74"/>
  <c r="N23" i="63"/>
  <c r="E19" i="66"/>
  <c r="H29" i="63"/>
  <c r="M25" i="61"/>
  <c r="I30" i="61"/>
  <c r="M54" i="64"/>
  <c r="J54" i="64"/>
  <c r="D38" i="63"/>
  <c r="N22" i="2"/>
  <c r="P22" i="2"/>
  <c r="P56" i="28"/>
  <c r="T56" i="28"/>
  <c r="T90" i="28"/>
  <c r="T91" i="28"/>
  <c r="N56" i="28"/>
  <c r="R56" i="28"/>
  <c r="R90" i="28"/>
  <c r="E68" i="66"/>
  <c r="I41" i="66"/>
  <c r="E67" i="66"/>
  <c r="E13" i="31"/>
  <c r="E24" i="31"/>
  <c r="H11" i="33"/>
  <c r="D10" i="60"/>
  <c r="R39" i="21"/>
  <c r="T40" i="22"/>
  <c r="T41" i="22"/>
  <c r="F11" i="63"/>
  <c r="N52" i="28"/>
  <c r="V52" i="28"/>
  <c r="P52" i="28"/>
  <c r="X52" i="28"/>
  <c r="D11" i="53"/>
  <c r="F12" i="53"/>
  <c r="H14" i="33"/>
  <c r="J14" i="33"/>
  <c r="R40" i="21"/>
  <c r="D44" i="63"/>
  <c r="E60" i="64"/>
  <c r="N9" i="2"/>
  <c r="N76" i="2"/>
  <c r="P76" i="2"/>
  <c r="N36" i="2"/>
  <c r="P36" i="2"/>
  <c r="P145" i="2"/>
  <c r="J33" i="60"/>
  <c r="J34" i="60"/>
  <c r="J50" i="60"/>
  <c r="J53" i="60"/>
  <c r="L29" i="60"/>
  <c r="P25" i="22"/>
  <c r="J4" i="25"/>
  <c r="R40" i="22"/>
  <c r="T41" i="21"/>
  <c r="J21" i="64"/>
  <c r="O21" i="64"/>
  <c r="W21" i="64"/>
  <c r="C42" i="64"/>
  <c r="M42" i="64"/>
  <c r="Q42" i="64"/>
  <c r="D37" i="62"/>
  <c r="F24" i="32"/>
  <c r="H26" i="64"/>
  <c r="J99" i="64"/>
  <c r="O99" i="64"/>
  <c r="W99" i="64"/>
  <c r="T145" i="2"/>
  <c r="T146" i="2"/>
  <c r="N48" i="2"/>
  <c r="P48" i="2"/>
  <c r="E19" i="38"/>
  <c r="R49" i="25"/>
  <c r="P12" i="26"/>
  <c r="X12" i="26"/>
  <c r="N12" i="26"/>
  <c r="V12" i="26"/>
  <c r="P28" i="26"/>
  <c r="X28" i="26"/>
  <c r="N28" i="26"/>
  <c r="V28" i="26"/>
  <c r="N37" i="29"/>
  <c r="N25" i="30"/>
  <c r="R25" i="30"/>
  <c r="C4" i="2"/>
  <c r="D29" i="32"/>
  <c r="E18" i="61"/>
  <c r="M18" i="61"/>
  <c r="P24" i="2"/>
  <c r="N24" i="2"/>
  <c r="P47" i="25"/>
  <c r="N47" i="25"/>
  <c r="M38" i="61"/>
  <c r="D20" i="60"/>
  <c r="E23" i="31"/>
  <c r="P78" i="2"/>
  <c r="N143" i="2"/>
  <c r="N19" i="22"/>
  <c r="H31" i="60"/>
  <c r="E11" i="38"/>
  <c r="E13" i="38"/>
  <c r="E21" i="38"/>
  <c r="E24" i="38"/>
  <c r="C4" i="22"/>
  <c r="C23" i="69"/>
  <c r="C25" i="69"/>
  <c r="C32" i="69"/>
  <c r="C36" i="69"/>
  <c r="C39" i="69"/>
  <c r="K19" i="61"/>
  <c r="N18" i="21"/>
  <c r="V18" i="21"/>
  <c r="P18" i="21"/>
  <c r="X18" i="21"/>
  <c r="N9" i="26"/>
  <c r="P9" i="26"/>
  <c r="N25" i="26"/>
  <c r="V25" i="26"/>
  <c r="P25" i="26"/>
  <c r="X25" i="26"/>
  <c r="P76" i="28"/>
  <c r="T76" i="28"/>
  <c r="N76" i="28"/>
  <c r="R76" i="28"/>
  <c r="X40" i="22"/>
  <c r="E55" i="70"/>
  <c r="E13" i="39"/>
  <c r="R43" i="29"/>
  <c r="R44" i="29"/>
  <c r="F7" i="52"/>
  <c r="N35" i="29"/>
  <c r="P35" i="29"/>
  <c r="P43" i="29"/>
  <c r="J90" i="28"/>
  <c r="I39" i="72"/>
  <c r="I40" i="72"/>
  <c r="M10" i="72"/>
  <c r="M13" i="72"/>
  <c r="H22" i="76"/>
  <c r="F5" i="76"/>
  <c r="K5" i="76"/>
  <c r="X43" i="29"/>
  <c r="P65" i="28"/>
  <c r="T65" i="28"/>
  <c r="N65" i="28"/>
  <c r="R65" i="28"/>
  <c r="C4" i="28"/>
  <c r="I35" i="66"/>
  <c r="H44" i="30"/>
  <c r="M31" i="30"/>
  <c r="R91" i="28"/>
  <c r="R92" i="28"/>
  <c r="X46" i="28"/>
  <c r="X90" i="28"/>
  <c r="D29" i="53"/>
  <c r="F19" i="53"/>
  <c r="E22" i="67"/>
  <c r="E27" i="67"/>
  <c r="N31" i="30"/>
  <c r="R31" i="30"/>
  <c r="R44" i="30"/>
  <c r="P31" i="30"/>
  <c r="E22" i="64"/>
  <c r="D36" i="63"/>
  <c r="E61" i="64"/>
  <c r="D43" i="62"/>
  <c r="F25" i="54"/>
  <c r="V9" i="26"/>
  <c r="V49" i="26"/>
  <c r="N49" i="26"/>
  <c r="N4" i="26"/>
  <c r="F25" i="53"/>
  <c r="G38" i="70"/>
  <c r="G43" i="70"/>
  <c r="G50" i="70"/>
  <c r="F34" i="63"/>
  <c r="J20" i="64"/>
  <c r="O26" i="64"/>
  <c r="R41" i="22"/>
  <c r="J11" i="33"/>
  <c r="J17" i="33"/>
  <c r="J28" i="33"/>
  <c r="J39" i="33"/>
  <c r="J42" i="33"/>
  <c r="H17" i="33"/>
  <c r="H28" i="33"/>
  <c r="H39" i="33"/>
  <c r="H42" i="33"/>
  <c r="I19" i="66"/>
  <c r="E66" i="66"/>
  <c r="J65" i="64"/>
  <c r="M65" i="64"/>
  <c r="F10" i="50"/>
  <c r="F25" i="50"/>
  <c r="F28" i="50"/>
  <c r="F17" i="32"/>
  <c r="D31" i="32"/>
  <c r="E39" i="61"/>
  <c r="M39" i="61"/>
  <c r="X51" i="26"/>
  <c r="M9" i="64"/>
  <c r="X40" i="21"/>
  <c r="R41" i="21"/>
  <c r="R4" i="21"/>
  <c r="P4" i="22"/>
  <c r="V9" i="25"/>
  <c r="V49" i="25"/>
  <c r="N49" i="25"/>
  <c r="N4" i="25"/>
  <c r="M66" i="64"/>
  <c r="J66" i="64"/>
  <c r="L31" i="60"/>
  <c r="H33" i="60"/>
  <c r="H34" i="60"/>
  <c r="H50" i="60"/>
  <c r="H53" i="60"/>
  <c r="L46" i="62"/>
  <c r="N46" i="62"/>
  <c r="R146" i="2"/>
  <c r="V51" i="26"/>
  <c r="V4" i="26"/>
  <c r="N145" i="2"/>
  <c r="N4" i="2"/>
  <c r="E35" i="31"/>
  <c r="E38" i="31"/>
  <c r="D16" i="62"/>
  <c r="N16" i="62"/>
  <c r="K33" i="67"/>
  <c r="O33" i="67"/>
  <c r="E37" i="64"/>
  <c r="O37" i="64"/>
  <c r="S37" i="64"/>
  <c r="N39" i="21"/>
  <c r="N4" i="21"/>
  <c r="V9" i="21"/>
  <c r="V39" i="21"/>
  <c r="V41" i="21"/>
  <c r="D12" i="62"/>
  <c r="N12" i="62"/>
  <c r="E33" i="64"/>
  <c r="O33" i="64"/>
  <c r="S33" i="64"/>
  <c r="L45" i="62"/>
  <c r="N45" i="62"/>
  <c r="O58" i="64"/>
  <c r="H58" i="64"/>
  <c r="R4" i="26"/>
  <c r="N11" i="63"/>
  <c r="M40" i="72"/>
  <c r="R45" i="29"/>
  <c r="X44" i="29"/>
  <c r="X45" i="29"/>
  <c r="M15" i="61"/>
  <c r="E19" i="61"/>
  <c r="V146" i="2"/>
  <c r="V147" i="2"/>
  <c r="T147" i="2"/>
  <c r="J4" i="30"/>
  <c r="H4" i="30"/>
  <c r="C12" i="39"/>
  <c r="I36" i="61"/>
  <c r="E14" i="39"/>
  <c r="L10" i="60"/>
  <c r="D16" i="60"/>
  <c r="H4" i="28"/>
  <c r="J4" i="28"/>
  <c r="C19" i="64"/>
  <c r="D22" i="63"/>
  <c r="N22" i="63"/>
  <c r="E17" i="66"/>
  <c r="I17" i="66"/>
  <c r="X91" i="28"/>
  <c r="E35" i="61"/>
  <c r="R50" i="25"/>
  <c r="L37" i="62"/>
  <c r="N37" i="62"/>
  <c r="O60" i="64"/>
  <c r="H60" i="64"/>
  <c r="L38" i="63"/>
  <c r="N38" i="63"/>
  <c r="F15" i="63"/>
  <c r="G15" i="70"/>
  <c r="G21" i="70"/>
  <c r="G34" i="70"/>
  <c r="H97" i="64"/>
  <c r="K15" i="67"/>
  <c r="O15" i="67"/>
  <c r="X9" i="21"/>
  <c r="X39" i="21"/>
  <c r="P39" i="21"/>
  <c r="L38" i="60"/>
  <c r="D48" i="60"/>
  <c r="H57" i="64"/>
  <c r="O57" i="64"/>
  <c r="H28" i="62"/>
  <c r="H34" i="62"/>
  <c r="H50" i="62"/>
  <c r="J41" i="62"/>
  <c r="N41" i="62"/>
  <c r="E17" i="67"/>
  <c r="K17" i="67"/>
  <c r="O17" i="67"/>
  <c r="N13" i="62"/>
  <c r="F15" i="52"/>
  <c r="E14" i="69"/>
  <c r="E15" i="69"/>
  <c r="E25" i="69"/>
  <c r="E32" i="69"/>
  <c r="E36" i="69"/>
  <c r="E39" i="69"/>
  <c r="D7" i="54"/>
  <c r="F10" i="54"/>
  <c r="F13" i="54"/>
  <c r="T51" i="25"/>
  <c r="V50" i="25"/>
  <c r="T42" i="22"/>
  <c r="V41" i="22"/>
  <c r="V42" i="22"/>
  <c r="X9" i="26"/>
  <c r="X49" i="26"/>
  <c r="P49" i="26"/>
  <c r="V9" i="28"/>
  <c r="V90" i="28"/>
  <c r="N90" i="28"/>
  <c r="N4" i="28"/>
  <c r="H37" i="33"/>
  <c r="J31" i="33"/>
  <c r="J37" i="33"/>
  <c r="H27" i="33"/>
  <c r="J23" i="33"/>
  <c r="J27" i="33"/>
  <c r="G20" i="70"/>
  <c r="F22" i="63"/>
  <c r="H19" i="64"/>
  <c r="H55" i="63"/>
  <c r="B8" i="65"/>
  <c r="E27" i="64"/>
  <c r="D37" i="63"/>
  <c r="P90" i="28"/>
  <c r="P4" i="28"/>
  <c r="N43" i="29"/>
  <c r="N4" i="29"/>
  <c r="L20" i="60"/>
  <c r="D33" i="60"/>
  <c r="D30" i="62"/>
  <c r="C50" i="64"/>
  <c r="L44" i="63"/>
  <c r="B10" i="65"/>
  <c r="C39" i="72"/>
  <c r="C40" i="72"/>
  <c r="N17" i="63"/>
  <c r="J40" i="62"/>
  <c r="N40" i="62"/>
  <c r="J48" i="64"/>
  <c r="M48" i="64"/>
  <c r="X9" i="25"/>
  <c r="X49" i="25"/>
  <c r="P49" i="25"/>
  <c r="T44" i="29"/>
  <c r="D15" i="62"/>
  <c r="N15" i="62"/>
  <c r="K32" i="67"/>
  <c r="O32" i="67"/>
  <c r="E36" i="64"/>
  <c r="O36" i="64"/>
  <c r="S36" i="64"/>
  <c r="F43" i="50"/>
  <c r="F45" i="50"/>
  <c r="X92" i="28"/>
  <c r="T92" i="28"/>
  <c r="T4" i="28"/>
  <c r="V91" i="28"/>
  <c r="R4" i="28"/>
  <c r="L48" i="62"/>
  <c r="L50" i="62"/>
  <c r="P4" i="25"/>
  <c r="L33" i="60"/>
  <c r="C39" i="64"/>
  <c r="M39" i="64"/>
  <c r="Q39" i="64"/>
  <c r="D21" i="62"/>
  <c r="F17" i="54"/>
  <c r="F27" i="54"/>
  <c r="F18" i="52"/>
  <c r="L15" i="63"/>
  <c r="L29" i="63"/>
  <c r="N15" i="63"/>
  <c r="V4" i="21"/>
  <c r="J43" i="62"/>
  <c r="N43" i="62"/>
  <c r="F29" i="63"/>
  <c r="F55" i="63"/>
  <c r="B16" i="65"/>
  <c r="D38" i="62"/>
  <c r="E63" i="64"/>
  <c r="O63" i="64"/>
  <c r="S63" i="64"/>
  <c r="L48" i="60"/>
  <c r="N44" i="63"/>
  <c r="L37" i="63"/>
  <c r="L42" i="63"/>
  <c r="N37" i="63"/>
  <c r="P4" i="21"/>
  <c r="P4" i="29"/>
  <c r="D34" i="60"/>
  <c r="D50" i="60"/>
  <c r="D53" i="60"/>
  <c r="X41" i="21"/>
  <c r="X4" i="21"/>
  <c r="F42" i="63"/>
  <c r="N34" i="63"/>
  <c r="N36" i="63"/>
  <c r="E34" i="66"/>
  <c r="D42" i="63"/>
  <c r="F30" i="53"/>
  <c r="G54" i="70"/>
  <c r="G55" i="70"/>
  <c r="J30" i="62"/>
  <c r="N30" i="62"/>
  <c r="J97" i="64"/>
  <c r="M97" i="64"/>
  <c r="E59" i="66"/>
  <c r="I59" i="66"/>
  <c r="I40" i="61"/>
  <c r="I41" i="61"/>
  <c r="M36" i="61"/>
  <c r="T45" i="29"/>
  <c r="T4" i="29"/>
  <c r="V44" i="29"/>
  <c r="V45" i="29"/>
  <c r="V4" i="29"/>
  <c r="X4" i="26"/>
  <c r="N44" i="30"/>
  <c r="N4" i="30"/>
  <c r="M35" i="61"/>
  <c r="M40" i="61"/>
  <c r="M41" i="61"/>
  <c r="E40" i="61"/>
  <c r="E41" i="61"/>
  <c r="F31" i="32"/>
  <c r="F32" i="32"/>
  <c r="O20" i="64"/>
  <c r="V51" i="25"/>
  <c r="V4" i="25"/>
  <c r="E32" i="64"/>
  <c r="O32" i="64"/>
  <c r="S32" i="64"/>
  <c r="S100" i="64"/>
  <c r="D11" i="62"/>
  <c r="L16" i="60"/>
  <c r="L34" i="60"/>
  <c r="L50" i="60"/>
  <c r="L53" i="60"/>
  <c r="D19" i="63"/>
  <c r="M19" i="61"/>
  <c r="D32" i="62"/>
  <c r="C55" i="64"/>
  <c r="O22" i="64"/>
  <c r="W22" i="64"/>
  <c r="R4" i="29"/>
  <c r="U9" i="64"/>
  <c r="T31" i="30"/>
  <c r="T44" i="30"/>
  <c r="T45" i="30"/>
  <c r="P44" i="30"/>
  <c r="V92" i="28"/>
  <c r="V4" i="28"/>
  <c r="M19" i="64"/>
  <c r="U19" i="64"/>
  <c r="P4" i="26"/>
  <c r="R51" i="25"/>
  <c r="R4" i="25"/>
  <c r="X50" i="25"/>
  <c r="X51" i="25"/>
  <c r="E8" i="66"/>
  <c r="R147" i="2"/>
  <c r="R4" i="2"/>
  <c r="X146" i="2"/>
  <c r="X147" i="2"/>
  <c r="X4" i="2"/>
  <c r="X41" i="22"/>
  <c r="X42" i="22"/>
  <c r="X4" i="22"/>
  <c r="R42" i="22"/>
  <c r="R4" i="22"/>
  <c r="H61" i="64"/>
  <c r="O61" i="64"/>
  <c r="H27" i="64"/>
  <c r="O27" i="64"/>
  <c r="J48" i="62"/>
  <c r="J50" i="64"/>
  <c r="M50" i="64"/>
  <c r="T4" i="25"/>
  <c r="N28" i="62"/>
  <c r="G31" i="32"/>
  <c r="T4" i="21"/>
  <c r="P4" i="2"/>
  <c r="X4" i="28"/>
  <c r="N21" i="62"/>
  <c r="D34" i="62"/>
  <c r="E32" i="66"/>
  <c r="N42" i="63"/>
  <c r="W20" i="64"/>
  <c r="V4" i="2"/>
  <c r="T46" i="30"/>
  <c r="V45" i="30"/>
  <c r="V46" i="30"/>
  <c r="J32" i="62"/>
  <c r="N32" i="62"/>
  <c r="J31" i="62"/>
  <c r="N31" i="62"/>
  <c r="C21" i="67"/>
  <c r="K21" i="67"/>
  <c r="O21" i="67"/>
  <c r="B17" i="68"/>
  <c r="J34" i="62"/>
  <c r="J50" i="62"/>
  <c r="T4" i="22"/>
  <c r="E69" i="66"/>
  <c r="E70" i="66"/>
  <c r="E56" i="66"/>
  <c r="I56" i="66"/>
  <c r="I34" i="66"/>
  <c r="J55" i="64"/>
  <c r="H52" i="64"/>
  <c r="M51" i="64"/>
  <c r="Q51" i="64"/>
  <c r="Q100" i="64"/>
  <c r="M55" i="64"/>
  <c r="X4" i="25"/>
  <c r="U100" i="64"/>
  <c r="L55" i="63"/>
  <c r="R45" i="30"/>
  <c r="N11" i="62"/>
  <c r="D17" i="62"/>
  <c r="C69" i="64"/>
  <c r="C91" i="64"/>
  <c r="P4" i="30"/>
  <c r="X4" i="29"/>
  <c r="I8" i="66"/>
  <c r="V4" i="22"/>
  <c r="N19" i="63"/>
  <c r="D29" i="63"/>
  <c r="D55" i="63"/>
  <c r="B6" i="65"/>
  <c r="B18" i="65"/>
  <c r="T4" i="2"/>
  <c r="N38" i="62"/>
  <c r="D48" i="62"/>
  <c r="E29" i="64"/>
  <c r="Q102" i="64"/>
  <c r="S101" i="64"/>
  <c r="S102" i="64"/>
  <c r="K34" i="67"/>
  <c r="O34" i="67"/>
  <c r="N48" i="62"/>
  <c r="E53" i="66"/>
  <c r="I53" i="66"/>
  <c r="I32" i="66"/>
  <c r="D50" i="62"/>
  <c r="B6" i="68"/>
  <c r="B23" i="68"/>
  <c r="E14" i="66"/>
  <c r="N29" i="63"/>
  <c r="N55" i="63"/>
  <c r="W5" i="64"/>
  <c r="M100" i="64"/>
  <c r="K31" i="67"/>
  <c r="N17" i="62"/>
  <c r="V4" i="30"/>
  <c r="N34" i="62"/>
  <c r="C14" i="67"/>
  <c r="H29" i="64"/>
  <c r="O29" i="64"/>
  <c r="E69" i="64"/>
  <c r="E91" i="64"/>
  <c r="X45" i="30"/>
  <c r="X46" i="30"/>
  <c r="X4" i="30"/>
  <c r="R46" i="30"/>
  <c r="R4" i="30"/>
  <c r="T4" i="30"/>
  <c r="N50" i="62"/>
  <c r="K35" i="67"/>
  <c r="O31" i="67"/>
  <c r="O35" i="67"/>
  <c r="J90" i="64"/>
  <c r="H100" i="64"/>
  <c r="I14" i="66"/>
  <c r="E26" i="66"/>
  <c r="K14" i="67"/>
  <c r="C22" i="67"/>
  <c r="C27" i="67"/>
  <c r="O88" i="64"/>
  <c r="J100" i="64"/>
  <c r="H101" i="64"/>
  <c r="K22" i="67"/>
  <c r="K27" i="67"/>
  <c r="K36" i="67"/>
  <c r="O14" i="67"/>
  <c r="O22" i="67"/>
  <c r="O27" i="67"/>
  <c r="O36" i="67"/>
  <c r="I26" i="66"/>
  <c r="E62" i="66"/>
  <c r="E64" i="66"/>
  <c r="E61" i="66"/>
  <c r="I61" i="66"/>
  <c r="K38" i="67"/>
  <c r="K37" i="67"/>
  <c r="O37" i="67"/>
  <c r="O38" i="67"/>
  <c r="I62" i="66"/>
  <c r="B19" i="65"/>
  <c r="W88" i="64"/>
  <c r="O100" i="64"/>
  <c r="M101" i="64"/>
  <c r="U5" i="64"/>
  <c r="W100" i="64"/>
  <c r="W102" i="64"/>
  <c r="U101" i="64"/>
  <c r="U102" i="64"/>
  <c r="X5" i="64"/>
  <c r="E63" i="66"/>
</calcChain>
</file>

<file path=xl/sharedStrings.xml><?xml version="1.0" encoding="utf-8"?>
<sst xmlns="http://schemas.openxmlformats.org/spreadsheetml/2006/main" count="1510" uniqueCount="602">
  <si>
    <t>City of Springfield</t>
  </si>
  <si>
    <t>General Fund</t>
  </si>
  <si>
    <t>FY 20X4 Transactions</t>
  </si>
  <si>
    <t>Balance Checkers</t>
  </si>
  <si>
    <t>Balances</t>
  </si>
  <si>
    <t>Beginning of Year</t>
  </si>
  <si>
    <t>Transactions</t>
  </si>
  <si>
    <t>End of Year</t>
  </si>
  <si>
    <t>Operating Statement</t>
  </si>
  <si>
    <t>Balance Sheet</t>
  </si>
  <si>
    <t>Account Title</t>
  </si>
  <si>
    <t>Dr.</t>
  </si>
  <si>
    <t>Cr.</t>
  </si>
  <si>
    <t>#</t>
  </si>
  <si>
    <t>Cash</t>
  </si>
  <si>
    <t>given</t>
  </si>
  <si>
    <t>Investments</t>
  </si>
  <si>
    <t>Taxes Receivable -- Current</t>
  </si>
  <si>
    <t>Allowance for Uncollectible Taxes -- Current</t>
  </si>
  <si>
    <t>Taxes Receivable -- Delinquent</t>
  </si>
  <si>
    <t>Allowance for Uncollectible Taxes -- Delinquent</t>
  </si>
  <si>
    <t>Interest and Penalties Receivable</t>
  </si>
  <si>
    <t>Allowance for Uncollectible Interest and Penalties</t>
  </si>
  <si>
    <t>Accrued Interest Receivable</t>
  </si>
  <si>
    <t>Inventory of Materials and Supplies</t>
  </si>
  <si>
    <t>Vouchers Payable</t>
  </si>
  <si>
    <t>Accrued Salaries Payable</t>
  </si>
  <si>
    <t>Deferred Revenues</t>
  </si>
  <si>
    <t>Due to Internal Service Fund</t>
  </si>
  <si>
    <t>Fund Balance</t>
  </si>
  <si>
    <t>Estimated Revenues</t>
  </si>
  <si>
    <t>Appropriations</t>
  </si>
  <si>
    <t>Budgetary Fund Balance</t>
  </si>
  <si>
    <t>Encumbrances</t>
  </si>
  <si>
    <t>Outstanding Encumbrances</t>
  </si>
  <si>
    <t>Revenues -- Property Taxes</t>
  </si>
  <si>
    <t>Revenues -- Fines and Forfeitures</t>
  </si>
  <si>
    <t>Revenues -- Integovernmental</t>
  </si>
  <si>
    <t>Revenues -- Licenses and Permits</t>
  </si>
  <si>
    <t>Revenues -- Interest</t>
  </si>
  <si>
    <t>Expenditures -- General Government</t>
  </si>
  <si>
    <t>Expenditures -- Public Safety</t>
  </si>
  <si>
    <t>Expenditures -- Highways and Streets</t>
  </si>
  <si>
    <t>Expenditures -- Health &amp; Sanitation</t>
  </si>
  <si>
    <t>Expenditures -- Parks and Recreation</t>
  </si>
  <si>
    <t>Due to Water and Sewer Fund</t>
  </si>
  <si>
    <t>Expenditures -- Capital Outlay</t>
  </si>
  <si>
    <t>Due from Addiction Prevention SRF</t>
  </si>
  <si>
    <t>Transfer to Addiction Prevention SRF</t>
  </si>
  <si>
    <t>Transfer to Parks and Recreation CPF</t>
  </si>
  <si>
    <t>Transfer from Water and Sewer EF</t>
  </si>
  <si>
    <t>Revenues -- Interest and Penalties</t>
  </si>
  <si>
    <t>OFS -- Proceeds from Sale of Equipment</t>
  </si>
  <si>
    <t>Tax Liens Receivable</t>
  </si>
  <si>
    <t>OFS -- Capital Lease</t>
  </si>
  <si>
    <t>Change in Fund Balance</t>
  </si>
  <si>
    <t>CITY OF SPRINGFIELD</t>
  </si>
  <si>
    <t>GENERAL FUND</t>
  </si>
  <si>
    <t>Statement of Revenues, Expenditures, and Changes in Fund Balance</t>
  </si>
  <si>
    <t>For the Year Ended December 31, 20X4</t>
  </si>
  <si>
    <t>Revenues:</t>
  </si>
  <si>
    <t>Taxes</t>
  </si>
  <si>
    <t>Interest and penalties on taxes</t>
  </si>
  <si>
    <t>Licenses and permits</t>
  </si>
  <si>
    <t>Fines and forfeitures</t>
  </si>
  <si>
    <t>Intergovernmental</t>
  </si>
  <si>
    <t>Investment income</t>
  </si>
  <si>
    <t>Total Revenues</t>
  </si>
  <si>
    <t>Expenditures:</t>
  </si>
  <si>
    <t>Operating</t>
  </si>
  <si>
    <t>General government</t>
  </si>
  <si>
    <t>Public safety</t>
  </si>
  <si>
    <t>Highways and streets</t>
  </si>
  <si>
    <t>Health and sanitation</t>
  </si>
  <si>
    <t>Parks and recreation</t>
  </si>
  <si>
    <t>Capital Outlay</t>
  </si>
  <si>
    <t>Total Expenditures</t>
  </si>
  <si>
    <t>Excess of Revenues over Expenditures</t>
  </si>
  <si>
    <t>Other Financing Sources and (Uses):</t>
  </si>
  <si>
    <t>Transfer from Enterprise Fund</t>
  </si>
  <si>
    <t>Proceeds from sale of general capital assets</t>
  </si>
  <si>
    <t>Capital leases</t>
  </si>
  <si>
    <t>Transfer to Special Revenue Fund</t>
  </si>
  <si>
    <t>Transfers to Capital Projects Funds</t>
  </si>
  <si>
    <t>Transfer to Debt Service Fund</t>
  </si>
  <si>
    <t>Total Other Financing Sources and (Uses)</t>
  </si>
  <si>
    <t>Net Change in Fund Balance</t>
  </si>
  <si>
    <t>Fund Balance, January 1, 20X4</t>
  </si>
  <si>
    <t>Fund Balance, December 31, 20X4</t>
  </si>
  <si>
    <t>December 31, 20X4</t>
  </si>
  <si>
    <t>Assets</t>
  </si>
  <si>
    <t xml:space="preserve">Cash </t>
  </si>
  <si>
    <t>Accrued interest receivable</t>
  </si>
  <si>
    <t>Taxes receivable--delinquent</t>
  </si>
  <si>
    <t>Less: Allowance for uncollectible delinquent taxes</t>
  </si>
  <si>
    <t>Tax liens receivable</t>
  </si>
  <si>
    <t>Interest and penalties receivable on taxes</t>
  </si>
  <si>
    <t>Less: Allowance for uncollectible interest and penalties</t>
  </si>
  <si>
    <t>Inventory of materials and supplies</t>
  </si>
  <si>
    <t>Due from Special Revenue Fund</t>
  </si>
  <si>
    <t>Total Assets</t>
  </si>
  <si>
    <t>Liabilities, Deferred Inflows, and Fund Balance</t>
  </si>
  <si>
    <t>Liabilities:</t>
  </si>
  <si>
    <t>Vouchers payable</t>
  </si>
  <si>
    <t>Accrued salaries payable</t>
  </si>
  <si>
    <t>Due to Enterprise Fund</t>
  </si>
  <si>
    <t>Deferred Inflows -- Deferred revenues</t>
  </si>
  <si>
    <t>Total Liabilities and Fund Balance</t>
  </si>
  <si>
    <t>Budget vs. Actual (GAAP Basis)</t>
  </si>
  <si>
    <t>Variance--</t>
  </si>
  <si>
    <t>Original</t>
  </si>
  <si>
    <t>Final</t>
  </si>
  <si>
    <t>Favorable</t>
  </si>
  <si>
    <t>Budget</t>
  </si>
  <si>
    <t>Actual</t>
  </si>
  <si>
    <t>(Unfavorable)</t>
  </si>
  <si>
    <t>Operating:</t>
  </si>
  <si>
    <t>Fund Balance, January 1</t>
  </si>
  <si>
    <t>Fund Balance, December 31</t>
  </si>
  <si>
    <t>Addiction Prevention Special Revenue Fund</t>
  </si>
  <si>
    <t>Balance Checks</t>
  </si>
  <si>
    <t>Due from Federal Government</t>
  </si>
  <si>
    <t>Due to GF</t>
  </si>
  <si>
    <t>Revenue -- Operating Grants</t>
  </si>
  <si>
    <t>Transfer from GF</t>
  </si>
  <si>
    <t>ADDICTION PREVENTION SPECIAL REVENUE FUND</t>
  </si>
  <si>
    <t>Revenues:  Operating Grants</t>
  </si>
  <si>
    <t>Expenditures:  Public Safety</t>
  </si>
  <si>
    <t>Other Financing Sources (Uses):  Transfer from General Fund</t>
  </si>
  <si>
    <t>Liabilities and Fund Balance</t>
  </si>
  <si>
    <t>Due to General Fund</t>
  </si>
  <si>
    <t xml:space="preserve">Fund Balance: </t>
  </si>
  <si>
    <t>Parks and Recreation Capital Projects Fund</t>
  </si>
  <si>
    <t>Estimated Revenues and OFSs</t>
  </si>
  <si>
    <t>Revenues -- Intergovernmental</t>
  </si>
  <si>
    <t>OFS -- Bond Principal</t>
  </si>
  <si>
    <t>OFS -- Bond Premium</t>
  </si>
  <si>
    <t>Expenditures -- Debt Service -- Bond Issue Costs</t>
  </si>
  <si>
    <t>Encumbrances Outstanding</t>
  </si>
  <si>
    <t>Contracts Payable -- Retained Percentage</t>
  </si>
  <si>
    <t>PARKS AND RECREATION CAPITAL PROJECTS FUND</t>
  </si>
  <si>
    <t>Revenues:  Intergovernmental</t>
  </si>
  <si>
    <t>Capital outlay:</t>
  </si>
  <si>
    <t>Debt Service -- Bond Issue Costs</t>
  </si>
  <si>
    <t>Excess (Deficiency) of Revenues Over (Under) Expenditures</t>
  </si>
  <si>
    <t>Transfer from General Fund</t>
  </si>
  <si>
    <t>Bond Principal</t>
  </si>
  <si>
    <t>Bond Premium</t>
  </si>
  <si>
    <t>Liabilities:  Contracts Payable -- Retained Percentage</t>
  </si>
  <si>
    <t>All resources of this fund except those transferred from the General Fund were</t>
  </si>
  <si>
    <t>restricted for the project. Restricted resources were assumed to be expended first</t>
  </si>
  <si>
    <t>when both restricted and unrestricted resources were available.</t>
  </si>
  <si>
    <t>In all probability, the council took action to commit the resources transferred to the</t>
  </si>
  <si>
    <r>
      <t>Capital Projects Fund</t>
    </r>
    <r>
      <rPr>
        <sz val="11"/>
        <rFont val="Calibri"/>
        <family val="2"/>
      </rPr>
      <t>—</t>
    </r>
    <r>
      <rPr>
        <sz val="11"/>
        <rFont val="Times New Roman"/>
        <family val="1"/>
      </rPr>
      <t xml:space="preserve">particularly since the county is financing part of the cost. If so, </t>
    </r>
  </si>
  <si>
    <t>Committed Fund Balance is $200,000; if not, Assigned Fund Balance is $200,000.</t>
  </si>
  <si>
    <t>The $200,000 cannot be reported as Unassigned Fund Balance.</t>
  </si>
  <si>
    <t>General Debt Service Fund</t>
  </si>
  <si>
    <t>2a</t>
  </si>
  <si>
    <t>2b</t>
  </si>
  <si>
    <t>2c</t>
  </si>
  <si>
    <t>8b</t>
  </si>
  <si>
    <t>8a</t>
  </si>
  <si>
    <t>Expenditures -- Debt Service -- Principal</t>
  </si>
  <si>
    <t>Expenditures -- Debt Service -- Interest</t>
  </si>
  <si>
    <t>GENERAL DEBT SERVICE FUND</t>
  </si>
  <si>
    <t>Debt service:</t>
  </si>
  <si>
    <t>Interest</t>
  </si>
  <si>
    <t>Excess (Deficiency) of Revenues over Expenditures</t>
  </si>
  <si>
    <t>Deferred Inflows:  Deferred revenues</t>
  </si>
  <si>
    <t>Fund Balance:</t>
  </si>
  <si>
    <t>Total Liabilities, Deferred Inflows, and Fund Balance</t>
  </si>
  <si>
    <t>General Capital Assets and General Long-Term Liabilities Accounts</t>
  </si>
  <si>
    <t>General Capital Assets</t>
  </si>
  <si>
    <t>General Long-Term Liabilities</t>
  </si>
  <si>
    <t>Land</t>
  </si>
  <si>
    <t>Buildings</t>
  </si>
  <si>
    <t>Accumulated Depreciation -- Buildings</t>
  </si>
  <si>
    <t>Machinery &amp; Equipment</t>
  </si>
  <si>
    <t>Accumulated Depreciation -- Machinery &amp; Equipment</t>
  </si>
  <si>
    <t>Infrastructure</t>
  </si>
  <si>
    <t>Accumulated Depreciation -- Infrastructure</t>
  </si>
  <si>
    <t>Construction in Progress</t>
  </si>
  <si>
    <t>Bonds Payable</t>
  </si>
  <si>
    <t>Premium on Bonds Payable</t>
  </si>
  <si>
    <t>Long-Term Claims and Judgments Payable</t>
  </si>
  <si>
    <t>Long-Term Compensated Absences Payable</t>
  </si>
  <si>
    <t>Net Position</t>
  </si>
  <si>
    <t>Capital Lease Payable</t>
  </si>
  <si>
    <t>Refunding Bonds Payable</t>
  </si>
  <si>
    <t>Leased Equipment</t>
  </si>
  <si>
    <t>Change in Net Position</t>
  </si>
  <si>
    <t>The journal entries below provide the detail of all transactions</t>
  </si>
  <si>
    <t>affecting the Net Position account.</t>
  </si>
  <si>
    <t>Total</t>
  </si>
  <si>
    <t>Premium on Bonds Payable (related to 7-4 below)</t>
  </si>
  <si>
    <t>Net Position *</t>
  </si>
  <si>
    <t>5-22</t>
  </si>
  <si>
    <t>Accumulated Depreciation -- Machinery and Equipment</t>
  </si>
  <si>
    <t>Net Position **</t>
  </si>
  <si>
    <t>Machinery and Equipment</t>
  </si>
  <si>
    <t>6-27</t>
  </si>
  <si>
    <t>7-4</t>
  </si>
  <si>
    <t>7-6</t>
  </si>
  <si>
    <t>7-7</t>
  </si>
  <si>
    <t>8-7</t>
  </si>
  <si>
    <t>*</t>
  </si>
  <si>
    <t>This adjustment affects the calculation of Interest Expense in the conversion process.</t>
  </si>
  <si>
    <t>**</t>
  </si>
  <si>
    <t>This adjustment converts the proceeds from the sale of equipment to a loss on sale of</t>
  </si>
  <si>
    <t>equipment in the conversion process.</t>
  </si>
  <si>
    <t>***</t>
  </si>
  <si>
    <t>This adjustment affects the calculation of the Deferred Interest Expense Adjustment</t>
  </si>
  <si>
    <t>in the conversion process.</t>
  </si>
  <si>
    <t>General Capital Assets Note Disclosure Worksheet</t>
  </si>
  <si>
    <t>Beginning</t>
  </si>
  <si>
    <t>Ref</t>
  </si>
  <si>
    <t>Ending</t>
  </si>
  <si>
    <t>Balance</t>
  </si>
  <si>
    <t>Increases</t>
  </si>
  <si>
    <t>Decreases</t>
  </si>
  <si>
    <t>Nondepreciable Assets</t>
  </si>
  <si>
    <t>Total Nondepreciable Assets</t>
  </si>
  <si>
    <t>Depreciable Assets</t>
  </si>
  <si>
    <t>Total Depreciable Assets</t>
  </si>
  <si>
    <t>Accumulated Depreciation</t>
  </si>
  <si>
    <t>Total Accumulated Depreciation</t>
  </si>
  <si>
    <t>Total Depreciable Assets, Net</t>
  </si>
  <si>
    <t>Governmental Activities Capital Assets, Net</t>
  </si>
  <si>
    <t>General Capital Assets Note Disclosure</t>
  </si>
  <si>
    <t>Depreciation Expense was charged to governmental functions as follows:</t>
  </si>
  <si>
    <t>General Government</t>
  </si>
  <si>
    <t>Public Safety</t>
  </si>
  <si>
    <t>Highways and Streets</t>
  </si>
  <si>
    <t>Health and Sanitation</t>
  </si>
  <si>
    <t>Parks and Recreation</t>
  </si>
  <si>
    <t>Internal Service Funds</t>
  </si>
  <si>
    <t xml:space="preserve">     Total Depreciation Expense</t>
  </si>
  <si>
    <t>General Long-Term Liabilities Note Worksheet</t>
  </si>
  <si>
    <t>Amounts</t>
  </si>
  <si>
    <t>Due in</t>
  </si>
  <si>
    <t>One Year</t>
  </si>
  <si>
    <t>Bonds and Notes Payable</t>
  </si>
  <si>
    <t>Total Bonds and Notes Payable</t>
  </si>
  <si>
    <t>Other Long-Term Liabilities</t>
  </si>
  <si>
    <t>Claims and Judgments Payable</t>
  </si>
  <si>
    <t>Compensated Absences Payable</t>
  </si>
  <si>
    <t>Governmental Activities Long-Term Liabilities</t>
  </si>
  <si>
    <t>General Long-Term Liabilities Note</t>
  </si>
  <si>
    <t>Water and Sewer Enterprise Fund</t>
  </si>
  <si>
    <t>Accounts Receivable</t>
  </si>
  <si>
    <t>Allowance for Uncollectilbe Accounts</t>
  </si>
  <si>
    <t>Customer Deposits -- Cash</t>
  </si>
  <si>
    <t>Water and Sewer Lines</t>
  </si>
  <si>
    <t>Accumulated Depreciation -- Water and Sewer Lines</t>
  </si>
  <si>
    <t>Accrued Interest Payable</t>
  </si>
  <si>
    <t>Customer Deposits Payable</t>
  </si>
  <si>
    <t>Water Sales (net of x,xxx in allowances)</t>
  </si>
  <si>
    <t>Sewer Fees (net of x,xxx in allowances)</t>
  </si>
  <si>
    <t>Salaries and Wages Expense</t>
  </si>
  <si>
    <t>Pension Expense</t>
  </si>
  <si>
    <t>Communications Expense</t>
  </si>
  <si>
    <t>Due to ISF</t>
  </si>
  <si>
    <t>Interest Revenue</t>
  </si>
  <si>
    <t>Materials and Supplies Expense</t>
  </si>
  <si>
    <t>Interest Expense</t>
  </si>
  <si>
    <t>Depreciation Expense -- Equipment</t>
  </si>
  <si>
    <t>Depreciation Expense -- Buildings</t>
  </si>
  <si>
    <t>Depreciation Expense -- Water and Sewer Lines</t>
  </si>
  <si>
    <t>Transfer to GF</t>
  </si>
  <si>
    <t>Salaries Payable</t>
  </si>
  <si>
    <t>Due from GF</t>
  </si>
  <si>
    <t>CITY OF Springfield</t>
  </si>
  <si>
    <t>WATER AND SEWER ENTERPRISE FUND</t>
  </si>
  <si>
    <t>Statement of Revenues, Expenses, and Changes in Net Position</t>
  </si>
  <si>
    <t>Operating Revenues:</t>
  </si>
  <si>
    <t>Water Sales (net of $x,xxx in allowances)</t>
  </si>
  <si>
    <t>Sewage Fees (net of $x,xxx in allowances)</t>
  </si>
  <si>
    <t>Operating Expenses:</t>
  </si>
  <si>
    <t>Salaries and Wages</t>
  </si>
  <si>
    <t>Pensions</t>
  </si>
  <si>
    <t>Materials and Supplies</t>
  </si>
  <si>
    <t>Depreciation</t>
  </si>
  <si>
    <t>Communication Services</t>
  </si>
  <si>
    <t>Operating Income</t>
  </si>
  <si>
    <t>Nonoperating Revenues and Expenses:</t>
  </si>
  <si>
    <t>Investment Income</t>
  </si>
  <si>
    <t>Interest expense</t>
  </si>
  <si>
    <t>Income before Transfers</t>
  </si>
  <si>
    <t>Transfer to General Fund</t>
  </si>
  <si>
    <t>Net Position, January 1, 20X4</t>
  </si>
  <si>
    <t>Net Position, December 31, 20X4</t>
  </si>
  <si>
    <t>Statement of Net Position</t>
  </si>
  <si>
    <t>ASSETS</t>
  </si>
  <si>
    <t>Current Assets:</t>
  </si>
  <si>
    <t>Due from General Fund</t>
  </si>
  <si>
    <t>Accounts receivable (net of uncollectible</t>
  </si>
  <si>
    <t>accounts of $x,xxx)</t>
  </si>
  <si>
    <t>Total Current Assets</t>
  </si>
  <si>
    <t>Noncurrent Assets:</t>
  </si>
  <si>
    <t>Restricted Assets:</t>
  </si>
  <si>
    <t>Customer deposits--cash</t>
  </si>
  <si>
    <t>Property, Plant, and Equipment:</t>
  </si>
  <si>
    <t>Less: Accumulated depreciation</t>
  </si>
  <si>
    <t>Machinery and equipment</t>
  </si>
  <si>
    <t>Water and sewer lines</t>
  </si>
  <si>
    <t>Total Property, Plant, and Equipment</t>
  </si>
  <si>
    <t>Total Noncurrent Assets</t>
  </si>
  <si>
    <t>LIABILITIES</t>
  </si>
  <si>
    <t>Current Liabilities:</t>
  </si>
  <si>
    <t>Accrued interest payable</t>
  </si>
  <si>
    <t>Bonds payable</t>
  </si>
  <si>
    <t>Total Current Liabilities</t>
  </si>
  <si>
    <t>Long-Term Liabilities:</t>
  </si>
  <si>
    <t>Customer deposits payable</t>
  </si>
  <si>
    <t>Claims and judgments payable</t>
  </si>
  <si>
    <t>Total Long-Term Liabilities</t>
  </si>
  <si>
    <t>Total Liabilities</t>
  </si>
  <si>
    <t>NET POSITION</t>
  </si>
  <si>
    <t>Net Investment in Capital Assets</t>
  </si>
  <si>
    <t>Total Net Position</t>
  </si>
  <si>
    <t>City of Harvey City</t>
  </si>
  <si>
    <t>Computation of Net Position Components</t>
  </si>
  <si>
    <t xml:space="preserve"> December 31, 20X4</t>
  </si>
  <si>
    <t>Net</t>
  </si>
  <si>
    <t>Investment in</t>
  </si>
  <si>
    <t>Asset/Liability</t>
  </si>
  <si>
    <t>Unrestricted</t>
  </si>
  <si>
    <t>Restricted</t>
  </si>
  <si>
    <t>Capital Assets</t>
  </si>
  <si>
    <t>Accounts Receivable (net)</t>
  </si>
  <si>
    <t>Capital Assets (net)</t>
  </si>
  <si>
    <t xml:space="preserve">   Totals</t>
  </si>
  <si>
    <t>Note: This is not part of the financial statements presentation.</t>
  </si>
  <si>
    <t>CITY OF HARVEY CITY</t>
  </si>
  <si>
    <t>Statement of Cash Flows</t>
  </si>
  <si>
    <t>Cash Flows from Operating Activities:</t>
  </si>
  <si>
    <t>Cash received from customers</t>
  </si>
  <si>
    <t>Cash paid to employees</t>
  </si>
  <si>
    <t>Cash paid for materials and services</t>
  </si>
  <si>
    <t>Net cash flows from operating activities</t>
  </si>
  <si>
    <t>Cash Flows from Noncapital Financing Activities:</t>
  </si>
  <si>
    <t>Cash paid in transfer to General Fund</t>
  </si>
  <si>
    <t>Cash Flows from Capital and Related Financing Activities:</t>
  </si>
  <si>
    <t>Cash paid to retire bond principal</t>
  </si>
  <si>
    <t>Cash paid for interest</t>
  </si>
  <si>
    <t>Net cash flows from capital and related financing activities</t>
  </si>
  <si>
    <t>Cash Flows from Investing Activities:</t>
  </si>
  <si>
    <t>Cash paid for investments</t>
  </si>
  <si>
    <t>Cash received from investment income</t>
  </si>
  <si>
    <t>Net cash flows from investing activities</t>
  </si>
  <si>
    <t>Increase in cash</t>
  </si>
  <si>
    <t>Cash balance, January 1, 20X4</t>
  </si>
  <si>
    <t>Cash balance, December 31, 20X4</t>
  </si>
  <si>
    <t>Reconciliation of Operating Income to Net Cash</t>
  </si>
  <si>
    <t>Provided by Operating Activities:</t>
  </si>
  <si>
    <t>Operating income</t>
  </si>
  <si>
    <t xml:space="preserve">Adjustments to reconcile operating income to net </t>
  </si>
  <si>
    <t>cash provided by operating activities:</t>
  </si>
  <si>
    <t>Changes in assets and liabilities:</t>
  </si>
  <si>
    <t>Change in accounts receivable</t>
  </si>
  <si>
    <t>Change in interfund receivables for services</t>
  </si>
  <si>
    <t>Change in inventory of materials and supplies</t>
  </si>
  <si>
    <t>Change in vouchers payable</t>
  </si>
  <si>
    <t>Change in salaries and wages payable</t>
  </si>
  <si>
    <t>Change in interfund liabilities for services</t>
  </si>
  <si>
    <t>Change in customer deposits payable</t>
  </si>
  <si>
    <t>Reconciliation of ending cash balance to balance sheet:</t>
  </si>
  <si>
    <t>Customer Deposits--Cash</t>
  </si>
  <si>
    <t>Total cash balance, December 31, 20X4</t>
  </si>
  <si>
    <t>Central Communications Network Internal Service Fund</t>
  </si>
  <si>
    <t>Billings to Departments -- General Fund</t>
  </si>
  <si>
    <t>Billings to Departments -- Enterprise Fund</t>
  </si>
  <si>
    <t>Due from EF</t>
  </si>
  <si>
    <t>Salaries Expense</t>
  </si>
  <si>
    <t>Supplies Expenses</t>
  </si>
  <si>
    <t>Depreciation Expense -- Machinery and Equipment</t>
  </si>
  <si>
    <t>CENTRAL COMMUNICATIONS NETWORK INTERNAL SERVICE FUND</t>
  </si>
  <si>
    <t>Billings to Departments</t>
  </si>
  <si>
    <t xml:space="preserve">    Operating Income</t>
  </si>
  <si>
    <t>Due from Enterprise Fund</t>
  </si>
  <si>
    <t>Less: Accumulated Depreciation</t>
  </si>
  <si>
    <t>Cash received from departments</t>
  </si>
  <si>
    <t>Net cash provided by operating activities</t>
  </si>
  <si>
    <t>Cash balance, January 1</t>
  </si>
  <si>
    <t>Cash balance, December 31</t>
  </si>
  <si>
    <t>Pension Trust Fund</t>
  </si>
  <si>
    <t>Due to Resigned Employees</t>
  </si>
  <si>
    <t>Net Position -- Restricted for Pension Benefits</t>
  </si>
  <si>
    <t>Contributions -- Employer</t>
  </si>
  <si>
    <t>Deductions -- Refunds to Resigned Employees</t>
  </si>
  <si>
    <t>Deductions -- Administrative Costs</t>
  </si>
  <si>
    <t xml:space="preserve">Deductions -- Benefits </t>
  </si>
  <si>
    <t>Annuities Payable</t>
  </si>
  <si>
    <t>Additions -- Interest Income</t>
  </si>
  <si>
    <t>Additions -- Increase in Fair Value of Investments</t>
  </si>
  <si>
    <t>POLICE AND FIRE PENSION TRUST FUND</t>
  </si>
  <si>
    <t>Statement of Changes in Net Position</t>
  </si>
  <si>
    <t>Additions:</t>
  </si>
  <si>
    <t>Employer Contributions</t>
  </si>
  <si>
    <t>Net increase in investment fair value</t>
  </si>
  <si>
    <t>Total additions</t>
  </si>
  <si>
    <t>Deductions:</t>
  </si>
  <si>
    <t>Retirement benefits</t>
  </si>
  <si>
    <t>Refunds of contributions</t>
  </si>
  <si>
    <t>Administrative costs</t>
  </si>
  <si>
    <t>Total deductions</t>
  </si>
  <si>
    <t>Change in net position held in trust for pension benefits</t>
  </si>
  <si>
    <t>Net Position Restricted for Pension Benefits, January 1, 20X4</t>
  </si>
  <si>
    <t>Net Position Restricted for Pension Benefits, December 31, 20X4</t>
  </si>
  <si>
    <t>Assets:</t>
  </si>
  <si>
    <t>Total assets</t>
  </si>
  <si>
    <t>Annuities payable</t>
  </si>
  <si>
    <t>Total liabilities</t>
  </si>
  <si>
    <t>Net Position Held in Trust for Pension Benefits</t>
  </si>
  <si>
    <t>GOVERNMENTAL FUNDS</t>
  </si>
  <si>
    <t>Addiction</t>
  </si>
  <si>
    <t>Parks and</t>
  </si>
  <si>
    <t>Governmental</t>
  </si>
  <si>
    <t>General</t>
  </si>
  <si>
    <t>Prevention</t>
  </si>
  <si>
    <t>Recreation</t>
  </si>
  <si>
    <t>Funds</t>
  </si>
  <si>
    <t>Fund</t>
  </si>
  <si>
    <t>SRF</t>
  </si>
  <si>
    <t>CPF</t>
  </si>
  <si>
    <t>DSF</t>
  </si>
  <si>
    <t>Interest and Penalties on Taxes</t>
  </si>
  <si>
    <t>Licenses and Permits</t>
  </si>
  <si>
    <t>Fines and Forfeitures</t>
  </si>
  <si>
    <t>Debt Service</t>
  </si>
  <si>
    <t>Principal</t>
  </si>
  <si>
    <t>Bond Issue Costs</t>
  </si>
  <si>
    <t>Payment to Refunding Bond Escrow Agent</t>
  </si>
  <si>
    <t>Taxes Receivable--Delinquent (net)</t>
  </si>
  <si>
    <t>Interest and Penalties Receivable on Taxes (net)</t>
  </si>
  <si>
    <t>Total Liabilities, Deferred Inflows, and Fund Balances</t>
  </si>
  <si>
    <t>Fund Balances</t>
  </si>
  <si>
    <t>Nonspendable</t>
  </si>
  <si>
    <t>Committed</t>
  </si>
  <si>
    <t>Assigned</t>
  </si>
  <si>
    <t>Unassigned</t>
  </si>
  <si>
    <t>Total Fund Balances</t>
  </si>
  <si>
    <t>PROPRIETARY FUNDS</t>
  </si>
  <si>
    <t>Central</t>
  </si>
  <si>
    <t>Water and</t>
  </si>
  <si>
    <t>Communications</t>
  </si>
  <si>
    <t>Sewer</t>
  </si>
  <si>
    <t>Network</t>
  </si>
  <si>
    <t>Enterprise</t>
  </si>
  <si>
    <t>Internal Service</t>
  </si>
  <si>
    <t>Water Sales (net of $5,160 in allowances)</t>
  </si>
  <si>
    <t>Sewage Fees (net of $3,015 in allowances)</t>
  </si>
  <si>
    <t>Billing to Departments</t>
  </si>
  <si>
    <t>Total Operating Revenues</t>
  </si>
  <si>
    <t>Total Operating Expenses</t>
  </si>
  <si>
    <t>Total Nonoperating Revenues and Expenses</t>
  </si>
  <si>
    <t>accounts of $2,875)</t>
  </si>
  <si>
    <t>Buildings (net)</t>
  </si>
  <si>
    <t>Machinery and equipment (net)</t>
  </si>
  <si>
    <t>Water and sewer lines (net)</t>
  </si>
  <si>
    <t>Total Property, Plant, and Equipment (net)</t>
  </si>
  <si>
    <t>Operating Statement Conversion Worksheet</t>
  </si>
  <si>
    <t>Internal</t>
  </si>
  <si>
    <t>Other Changes</t>
  </si>
  <si>
    <t>Activities</t>
  </si>
  <si>
    <t>Service</t>
  </si>
  <si>
    <t>GCA</t>
  </si>
  <si>
    <t>GLTL</t>
  </si>
  <si>
    <t>and Interfund</t>
  </si>
  <si>
    <t>Statement of</t>
  </si>
  <si>
    <t>Changes</t>
  </si>
  <si>
    <t>Items</t>
  </si>
  <si>
    <t>Economic Development</t>
  </si>
  <si>
    <t>Other</t>
  </si>
  <si>
    <t>Refunding Bonds</t>
  </si>
  <si>
    <t>Balance Sheet Conversion Worksheet</t>
  </si>
  <si>
    <t>Internal Balances</t>
  </si>
  <si>
    <t>Machinery &amp; Equipment (net)</t>
  </si>
  <si>
    <t>Leased Equipment (net)</t>
  </si>
  <si>
    <t>Infrastructure (net)</t>
  </si>
  <si>
    <t>Deferred Outflows -- Deferred Interest Expense Adjustment</t>
  </si>
  <si>
    <t>Interest Payable</t>
  </si>
  <si>
    <t>Unearned Revenues</t>
  </si>
  <si>
    <t>\</t>
  </si>
  <si>
    <t>Springfield</t>
  </si>
  <si>
    <t>Worksheet to Derive Governmental Activities</t>
  </si>
  <si>
    <t>`</t>
  </si>
  <si>
    <t>Totals--All</t>
  </si>
  <si>
    <t>Preclosing</t>
  </si>
  <si>
    <t>Accounts</t>
  </si>
  <si>
    <t>Governmental Funds</t>
  </si>
  <si>
    <t>Adjustments</t>
  </si>
  <si>
    <t>Trial Balance</t>
  </si>
  <si>
    <t>Net Assets</t>
  </si>
  <si>
    <t>Debit</t>
  </si>
  <si>
    <t>Credit</t>
  </si>
  <si>
    <t>Ref.</t>
  </si>
  <si>
    <t>Due from Addiction Prevention Special Revenue Fund</t>
  </si>
  <si>
    <t>Interest and Penalties Receivable (net)</t>
  </si>
  <si>
    <t>Contracts Payable--Retained Percentage</t>
  </si>
  <si>
    <t>Deferred Revenues (Deferred Inflow)</t>
  </si>
  <si>
    <t>Reserve for Encumbrances</t>
  </si>
  <si>
    <t>Total Fund Balance (Preclosing)</t>
  </si>
  <si>
    <t>Revenue:</t>
  </si>
  <si>
    <t>Current Operating Expenditures/Expenses:</t>
  </si>
  <si>
    <t>Capital Outlay Expenditures</t>
  </si>
  <si>
    <t>Debt Service Expenditures:</t>
  </si>
  <si>
    <t>Principal Retirement</t>
  </si>
  <si>
    <t>Payment to Refunded Bond Escrow Agent</t>
  </si>
  <si>
    <t>Other Financing Sources</t>
  </si>
  <si>
    <t>Bonds</t>
  </si>
  <si>
    <t>General Capital Asset Sale Proceeds</t>
  </si>
  <si>
    <t>Capital Leases</t>
  </si>
  <si>
    <t>Transfers from General Fund</t>
  </si>
  <si>
    <t>Transfers from Water and Sewer Enterprise Fund</t>
  </si>
  <si>
    <t>Other Financing Uses:</t>
  </si>
  <si>
    <t>Transfers to Addiction Prevention Special Revenue Fund</t>
  </si>
  <si>
    <t>Transfers to  Refunding Debt Service Fund</t>
  </si>
  <si>
    <t xml:space="preserve">   Governmental Funds--Totals</t>
  </si>
  <si>
    <t>Accumulated Depreciation--Buildings</t>
  </si>
  <si>
    <t>Accumulated Depreciation--Machinery and Equipment</t>
  </si>
  <si>
    <t>Infrastructure (Streets, Roads, and Bridges)</t>
  </si>
  <si>
    <t>Accumulated Depreciation--Infrastructure</t>
  </si>
  <si>
    <t>Long-term Claims and Judgments Payable</t>
  </si>
  <si>
    <t>Long-term Compensated Absences Payable</t>
  </si>
  <si>
    <t>Equipment Under Capital Lease</t>
  </si>
  <si>
    <t>Loss on Sale of Capital Assets</t>
  </si>
  <si>
    <t>Capital Lease Liabilities</t>
  </si>
  <si>
    <t>Deferred Interest Expense Adjustment</t>
  </si>
  <si>
    <t>Accrued Interest on Bonds</t>
  </si>
  <si>
    <t>Change in Net Assets</t>
  </si>
  <si>
    <t>Primary Government</t>
  </si>
  <si>
    <t>Business-type</t>
  </si>
  <si>
    <t>Restricted Cash -- Customer Deposits</t>
  </si>
  <si>
    <t>Water and Sewer Lines (net)</t>
  </si>
  <si>
    <t>Noncurrent liabilities:</t>
  </si>
  <si>
    <t>Amounts due within one year</t>
  </si>
  <si>
    <t>Amounts due in more than one year</t>
  </si>
  <si>
    <t>Restricted for:</t>
  </si>
  <si>
    <t>Capital Projects</t>
  </si>
  <si>
    <t>Debt service</t>
  </si>
  <si>
    <t xml:space="preserve">   Total Net Assets</t>
  </si>
  <si>
    <t>Computation of Net Investment in Capital Assets:</t>
  </si>
  <si>
    <t>Capital assets, net</t>
  </si>
  <si>
    <t>Bonds payable, less unexpended proceeds*</t>
  </si>
  <si>
    <t>Capital lease liabilities</t>
  </si>
  <si>
    <t>Contracts payable</t>
  </si>
  <si>
    <t>*Unexpended proceeds = $1,535,000 - $1,250,000 + $300,000 = $585,000  (Assumes that restricted )</t>
  </si>
  <si>
    <t>resources are expended before the unrestricted resources transferred in from the General Fund.</t>
  </si>
  <si>
    <t xml:space="preserve">Net assets restricted for addiction prevention would be negative and therefore cannot be reported.  </t>
  </si>
  <si>
    <t>Negative restricted net assets are not permitted by GASB Statement 34.</t>
  </si>
  <si>
    <t>Reconciliation of Total Fund Balances of Governmental Funds</t>
  </si>
  <si>
    <t>to Net Assets of Governmental Activities</t>
  </si>
  <si>
    <t>Total Fund Balances, All Governmental Funds</t>
  </si>
  <si>
    <t>Capital assets used in governmental activities are not financial resources and therefore are not reported in the funds.</t>
  </si>
  <si>
    <t>Certain other amounts are not available to pay current-period expenses and are therefore deferred in the funds.</t>
  </si>
  <si>
    <t>Certain amounts are recorded only in accrual accounting and are not included in the fund financial statements.</t>
  </si>
  <si>
    <t>Long-term liabilities, including bonds payable, related interest payable, and other related accounts, are not due and payable in the current period and therefore are not reported in the governmental funds.</t>
  </si>
  <si>
    <t>Internal Service Funds are used by management to charge the costs of certain activities, such as communication services, to individual funds. The assets and liabilities are included in governmental activities in the Statement of Net Position.</t>
  </si>
  <si>
    <t>Net Position of the Governmental Activities</t>
  </si>
  <si>
    <t>Statement of Activities</t>
  </si>
  <si>
    <t>Program Revenues</t>
  </si>
  <si>
    <t>Net (Expenses) Revenues and Changes in Net Assets</t>
  </si>
  <si>
    <t>Charges</t>
  </si>
  <si>
    <t xml:space="preserve">Operating </t>
  </si>
  <si>
    <t>for</t>
  </si>
  <si>
    <t>Grants and</t>
  </si>
  <si>
    <t>Capital</t>
  </si>
  <si>
    <t>Business-Type</t>
  </si>
  <si>
    <t xml:space="preserve"> </t>
  </si>
  <si>
    <t>Functions:</t>
  </si>
  <si>
    <t>Expenses</t>
  </si>
  <si>
    <t>Services</t>
  </si>
  <si>
    <t>Contributions</t>
  </si>
  <si>
    <t>Grants</t>
  </si>
  <si>
    <t>Primary government</t>
  </si>
  <si>
    <r>
      <t>Governmenta</t>
    </r>
    <r>
      <rPr>
        <b/>
        <sz val="11"/>
        <rFont val="Times New Roman"/>
        <family val="1"/>
      </rPr>
      <t>l activities:</t>
    </r>
  </si>
  <si>
    <t>Total governmental activities</t>
  </si>
  <si>
    <t>Business-type activities:</t>
  </si>
  <si>
    <t>Water and Sewer Activity</t>
  </si>
  <si>
    <t>Total primary government</t>
  </si>
  <si>
    <t>General revenues:</t>
  </si>
  <si>
    <t xml:space="preserve">  Property taxes, levied for general purposes</t>
  </si>
  <si>
    <t xml:space="preserve">  Unrestricted grant revenues</t>
  </si>
  <si>
    <t xml:space="preserve">  Unrestricted investment income</t>
  </si>
  <si>
    <t>Transfers</t>
  </si>
  <si>
    <t>Total general revenues, special items and transfers</t>
  </si>
  <si>
    <t>Reconciliation of Total Changes in Fund Balance of Governmental Funds</t>
  </si>
  <si>
    <t>to Changes in Net Position of Governmental Activities</t>
  </si>
  <si>
    <t>Total Changes in Fund Balance, All Governmental Funds</t>
  </si>
  <si>
    <t xml:space="preserve">Governmental funds report capital outlays as expenditures. However, in the Statement of Activities, the cost of those assets is allocated over their estimated useful lives as </t>
  </si>
  <si>
    <t>Depreciation Expense. The capital outlays ($3,467,400) exceeded depreciation expense ($995,000) in the current period.</t>
  </si>
  <si>
    <t xml:space="preserve">In the Statement of Activities, gains and losses from sales of capital assets are reported, whereas in the governmental funds only the proceeds of the sale are reported. Thus the </t>
  </si>
  <si>
    <t>change in net position differs from the change in fund balance by the book value of the assets sold.</t>
  </si>
  <si>
    <t>Revenues in the Statement of Activities that do not provide current financial resources are not reported as revenues in the funds.</t>
  </si>
  <si>
    <t xml:space="preserve">Bond proceeds proide current financial resources to the governmental funds, but issuing debt increases long-term liabilities in the Statement of Net Position. Repayment of bond </t>
  </si>
  <si>
    <t>principal is an expenditure in the governmental funds, but the repayment reduces long-term liabilities in the Statement of Net Position.</t>
  </si>
  <si>
    <t>Interest expenditures are recognized when due; interest expense is accrured. This is the amount by which the accrual exceeds the amount due.</t>
  </si>
  <si>
    <t>This amount represents expenses that do not require current financial resources and are not reported as expenditures.</t>
  </si>
  <si>
    <t>Changes in Net Position</t>
  </si>
  <si>
    <t xml:space="preserve"> Bonds Payable - current</t>
  </si>
  <si>
    <t>Bonds Payable - long term</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</si>
</sst>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 numFmtId="166" formatCode="_(* #,##0_);_(* \(#,##0\);_(* &quot;-&quot;??_);_(@_)"/>
  </numFmts>
  <fonts count="9" x14ac:knownFonts="1">
    <font>
      <sz val="12"/>
      <name val="Arial"/>
    </font>
    <font>
      <sz val="11"/>
      <name val="Times New Roman"/>
      <family val="1"/>
    </font>
    <font>
      <sz val="12"/>
      <name val="Arial"/>
      <family val="2"/>
    </font>
    <font>
      <b/>
      <sz val="11"/>
      <name val="Times New Roman"/>
      <family val="1"/>
    </font>
    <font>
      <u val="singleAccounting"/>
      <sz val="11"/>
      <name val="Times New Roman"/>
      <family val="1"/>
    </font>
    <font>
      <u val="doubleAccounting"/>
      <sz val="11"/>
      <name val="Times New Roman"/>
      <family val="1"/>
    </font>
    <font>
      <b/>
      <i/>
      <sz val="11"/>
      <name val="Times New Roman"/>
      <family val="1"/>
    </font>
    <font>
      <sz val="11"/>
      <name val="Calibri"/>
      <family val="2"/>
    </font>
    <font>
      <sz val="8"/>
      <name val="Arial"/>
    </font>
  </fonts>
  <fills count="6">
    <fill>
      <patternFill patternType="none"/>
    </fill>
    <fill>
      <patternFill patternType="gray125"/>
    </fill>
    <fill>
      <patternFill patternType="solid">
        <fgColor theme="0" tint="-0.249977111117893"/>
        <bgColor indexed="64"/>
      </patternFill>
    </fill>
    <fill>
      <patternFill patternType="solid">
        <fgColor theme="0" tint="-0.14996795556505021"/>
        <bgColor indexed="64"/>
      </patternFill>
    </fill>
    <fill>
      <patternFill patternType="solid">
        <fgColor theme="0" tint="-0.24994659260841701"/>
        <bgColor indexed="64"/>
      </patternFill>
    </fill>
    <fill>
      <patternFill patternType="solid">
        <fgColor rgb="FFFFFF00"/>
        <bgColor indexed="64"/>
      </patternFill>
    </fill>
  </fills>
  <borders count="9">
    <border>
      <left/>
      <right/>
      <top/>
      <bottom/>
      <diagonal/>
    </border>
    <border>
      <left/>
      <right/>
      <top style="thin">
        <color indexed="8"/>
      </top>
      <bottom/>
      <diagonal/>
    </border>
    <border>
      <left/>
      <right/>
      <top style="double">
        <color indexed="8"/>
      </top>
      <bottom/>
      <diagonal/>
    </border>
    <border>
      <left/>
      <right/>
      <top style="medium">
        <color indexed="8"/>
      </top>
      <bottom/>
      <diagonal/>
    </border>
    <border>
      <left/>
      <right/>
      <top/>
      <bottom style="thin">
        <color auto="1"/>
      </bottom>
      <diagonal/>
    </border>
    <border>
      <left/>
      <right/>
      <top style="thin">
        <color auto="1"/>
      </top>
      <bottom/>
      <diagonal/>
    </border>
    <border>
      <left/>
      <right/>
      <top style="thin">
        <color auto="1"/>
      </top>
      <bottom style="double">
        <color auto="1"/>
      </bottom>
      <diagonal/>
    </border>
    <border>
      <left/>
      <right/>
      <top style="thin">
        <color auto="1"/>
      </top>
      <bottom style="thin">
        <color auto="1"/>
      </bottom>
      <diagonal/>
    </border>
    <border>
      <left/>
      <right/>
      <top/>
      <bottom style="double">
        <color auto="1"/>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161">
    <xf numFmtId="0" fontId="0" fillId="0" borderId="0" xfId="0"/>
    <xf numFmtId="41" fontId="1" fillId="0" borderId="0" xfId="0" applyNumberFormat="1" applyFont="1" applyAlignment="1">
      <alignment horizontal="centerContinuous"/>
    </xf>
    <xf numFmtId="41" fontId="1" fillId="0" borderId="0" xfId="0" applyNumberFormat="1" applyFont="1" applyFill="1" applyAlignment="1">
      <alignment horizontal="centerContinuous"/>
    </xf>
    <xf numFmtId="41" fontId="1" fillId="0" borderId="0" xfId="0" applyNumberFormat="1" applyFont="1" applyAlignment="1"/>
    <xf numFmtId="41" fontId="1" fillId="0" borderId="0" xfId="0" applyNumberFormat="1" applyFont="1" applyFill="1" applyAlignment="1"/>
    <xf numFmtId="41" fontId="1" fillId="0" borderId="0" xfId="0" applyNumberFormat="1" applyFont="1" applyAlignment="1">
      <alignment textRotation="90"/>
    </xf>
    <xf numFmtId="41" fontId="1" fillId="0" borderId="1" xfId="0" applyNumberFormat="1" applyFont="1" applyBorder="1" applyAlignment="1">
      <alignment horizontal="center"/>
    </xf>
    <xf numFmtId="41" fontId="1" fillId="0" borderId="1" xfId="0" applyNumberFormat="1" applyFont="1" applyBorder="1" applyAlignment="1"/>
    <xf numFmtId="41" fontId="1" fillId="0" borderId="1" xfId="0" applyNumberFormat="1" applyFont="1" applyFill="1" applyBorder="1" applyAlignment="1">
      <alignment horizontal="center"/>
    </xf>
    <xf numFmtId="41" fontId="1" fillId="0" borderId="1" xfId="0" applyNumberFormat="1" applyFont="1" applyFill="1" applyBorder="1" applyAlignment="1">
      <alignment horizontal="centerContinuous"/>
    </xf>
    <xf numFmtId="41" fontId="1" fillId="0" borderId="1" xfId="0" applyNumberFormat="1" applyFont="1" applyFill="1" applyBorder="1" applyAlignment="1"/>
    <xf numFmtId="41" fontId="1" fillId="0" borderId="1" xfId="0" applyNumberFormat="1" applyFont="1" applyBorder="1" applyAlignment="1">
      <alignment horizontal="centerContinuous"/>
    </xf>
    <xf numFmtId="41" fontId="1" fillId="0" borderId="3" xfId="0" applyNumberFormat="1" applyFont="1" applyBorder="1" applyAlignment="1"/>
    <xf numFmtId="41" fontId="1" fillId="0" borderId="3" xfId="0" applyNumberFormat="1" applyFont="1" applyFill="1" applyBorder="1" applyAlignment="1"/>
    <xf numFmtId="41" fontId="1" fillId="0" borderId="2" xfId="0" applyNumberFormat="1" applyFont="1" applyBorder="1" applyAlignment="1"/>
    <xf numFmtId="41" fontId="1" fillId="0" borderId="2" xfId="0" applyNumberFormat="1" applyFont="1" applyFill="1" applyBorder="1" applyAlignment="1"/>
    <xf numFmtId="41" fontId="1" fillId="0" borderId="0" xfId="0" applyNumberFormat="1" applyFont="1" applyFill="1" applyBorder="1" applyAlignment="1"/>
    <xf numFmtId="41" fontId="1" fillId="0" borderId="4" xfId="0" applyNumberFormat="1" applyFont="1" applyBorder="1" applyAlignment="1">
      <alignment horizontal="center"/>
    </xf>
    <xf numFmtId="41" fontId="1" fillId="2" borderId="0" xfId="0" applyNumberFormat="1" applyFont="1" applyFill="1" applyAlignment="1"/>
    <xf numFmtId="41" fontId="1" fillId="0" borderId="0" xfId="0" applyNumberFormat="1" applyFont="1" applyFill="1" applyBorder="1" applyAlignment="1">
      <alignment horizontal="center"/>
    </xf>
    <xf numFmtId="41" fontId="1" fillId="0" borderId="0" xfId="0" quotePrefix="1" applyNumberFormat="1" applyFont="1" applyFill="1" applyAlignment="1">
      <alignment horizontal="center"/>
    </xf>
    <xf numFmtId="41" fontId="1" fillId="0" borderId="1" xfId="0" quotePrefix="1" applyNumberFormat="1" applyFont="1" applyFill="1" applyBorder="1" applyAlignment="1">
      <alignment horizontal="center"/>
    </xf>
    <xf numFmtId="16" fontId="1" fillId="0" borderId="0" xfId="0" quotePrefix="1" applyNumberFormat="1" applyFont="1" applyFill="1" applyAlignment="1">
      <alignment horizontal="center"/>
    </xf>
    <xf numFmtId="41" fontId="1" fillId="4" borderId="0" xfId="0" applyNumberFormat="1" applyFont="1" applyFill="1" applyAlignment="1"/>
    <xf numFmtId="41" fontId="1" fillId="0" borderId="0" xfId="0" applyNumberFormat="1" applyFont="1"/>
    <xf numFmtId="41" fontId="1" fillId="0" borderId="0" xfId="0" applyNumberFormat="1" applyFont="1" applyBorder="1"/>
    <xf numFmtId="164" fontId="1" fillId="0" borderId="0" xfId="2" applyNumberFormat="1" applyFont="1" applyBorder="1"/>
    <xf numFmtId="41" fontId="1" fillId="0" borderId="0" xfId="1" applyNumberFormat="1" applyFont="1" applyBorder="1"/>
    <xf numFmtId="41" fontId="1" fillId="0" borderId="5" xfId="0" applyNumberFormat="1" applyFont="1" applyBorder="1"/>
    <xf numFmtId="41" fontId="1" fillId="0" borderId="5" xfId="1" applyNumberFormat="1" applyFont="1" applyBorder="1"/>
    <xf numFmtId="164" fontId="1" fillId="0" borderId="6" xfId="2" applyNumberFormat="1" applyFont="1" applyBorder="1"/>
    <xf numFmtId="41" fontId="1" fillId="0" borderId="0" xfId="2" applyNumberFormat="1" applyFont="1" applyBorder="1"/>
    <xf numFmtId="41" fontId="1" fillId="0" borderId="0" xfId="0" applyNumberFormat="1" applyFont="1" applyBorder="1" applyAlignment="1">
      <alignment horizontal="left"/>
    </xf>
    <xf numFmtId="41" fontId="1" fillId="0" borderId="0" xfId="0" applyNumberFormat="1" applyFont="1" applyFill="1" applyBorder="1" applyAlignment="1">
      <alignment horizontal="left"/>
    </xf>
    <xf numFmtId="41" fontId="1" fillId="0" borderId="0" xfId="0" applyNumberFormat="1" applyFont="1" applyAlignment="1">
      <alignment horizontal="left"/>
    </xf>
    <xf numFmtId="41" fontId="1" fillId="0" borderId="6" xfId="2" applyNumberFormat="1" applyFont="1" applyBorder="1"/>
    <xf numFmtId="41" fontId="1" fillId="0" borderId="7" xfId="1" applyNumberFormat="1" applyFont="1" applyBorder="1"/>
    <xf numFmtId="41" fontId="1" fillId="0" borderId="7" xfId="0" applyNumberFormat="1" applyFont="1" applyBorder="1"/>
    <xf numFmtId="41" fontId="1" fillId="0" borderId="0" xfId="1" applyNumberFormat="1" applyFont="1"/>
    <xf numFmtId="164" fontId="1" fillId="0" borderId="0" xfId="2" applyNumberFormat="1" applyFont="1"/>
    <xf numFmtId="41" fontId="1" fillId="0" borderId="0" xfId="1" applyNumberFormat="1" applyFont="1" applyAlignment="1">
      <alignment horizontal="left"/>
    </xf>
    <xf numFmtId="164" fontId="1" fillId="0" borderId="0" xfId="2" applyNumberFormat="1" applyFont="1" applyAlignment="1">
      <alignment horizontal="left"/>
    </xf>
    <xf numFmtId="41" fontId="1" fillId="0" borderId="5" xfId="0" applyNumberFormat="1" applyFont="1" applyBorder="1" applyAlignment="1">
      <alignment horizontal="left"/>
    </xf>
    <xf numFmtId="41" fontId="1" fillId="0" borderId="0" xfId="1" applyNumberFormat="1" applyFont="1" applyBorder="1" applyAlignment="1">
      <alignment horizontal="left"/>
    </xf>
    <xf numFmtId="164" fontId="1" fillId="0" borderId="0" xfId="2" applyNumberFormat="1" applyFont="1" applyBorder="1" applyAlignment="1">
      <alignment horizontal="left"/>
    </xf>
    <xf numFmtId="164" fontId="1" fillId="0" borderId="6" xfId="2" applyNumberFormat="1" applyFont="1" applyBorder="1" applyAlignment="1">
      <alignment horizontal="left"/>
    </xf>
    <xf numFmtId="41" fontId="1" fillId="0" borderId="5" xfId="1" applyNumberFormat="1" applyFont="1" applyBorder="1" applyAlignment="1">
      <alignment horizontal="left"/>
    </xf>
    <xf numFmtId="42" fontId="1" fillId="0" borderId="0" xfId="2" applyNumberFormat="1" applyFont="1" applyAlignment="1">
      <alignment horizontal="left"/>
    </xf>
    <xf numFmtId="165" fontId="1" fillId="0" borderId="6" xfId="2" applyNumberFormat="1" applyFont="1" applyBorder="1" applyAlignment="1">
      <alignment horizontal="left"/>
    </xf>
    <xf numFmtId="42" fontId="1" fillId="0" borderId="0" xfId="2" applyNumberFormat="1" applyFont="1" applyBorder="1" applyAlignment="1">
      <alignment horizontal="left"/>
    </xf>
    <xf numFmtId="0" fontId="1" fillId="0" borderId="0" xfId="0" applyFont="1"/>
    <xf numFmtId="41" fontId="1" fillId="2" borderId="0" xfId="0" applyNumberFormat="1" applyFont="1" applyFill="1"/>
    <xf numFmtId="41" fontId="1" fillId="0" borderId="0" xfId="0" quotePrefix="1" applyNumberFormat="1" applyFont="1" applyAlignment="1">
      <alignment horizontal="center"/>
    </xf>
    <xf numFmtId="41" fontId="1" fillId="0" borderId="0" xfId="0" applyNumberFormat="1" applyFont="1" applyFill="1"/>
    <xf numFmtId="16" fontId="1" fillId="0" borderId="0" xfId="0" quotePrefix="1" applyNumberFormat="1" applyFont="1" applyAlignment="1">
      <alignment horizontal="center"/>
    </xf>
    <xf numFmtId="41" fontId="1" fillId="0" borderId="6" xfId="0" applyNumberFormat="1" applyFont="1" applyBorder="1"/>
    <xf numFmtId="165" fontId="1" fillId="0" borderId="0" xfId="0" applyNumberFormat="1" applyFont="1"/>
    <xf numFmtId="42" fontId="1" fillId="0" borderId="0" xfId="0" applyNumberFormat="1" applyFont="1"/>
    <xf numFmtId="42" fontId="1" fillId="0" borderId="8" xfId="0" applyNumberFormat="1" applyFont="1" applyBorder="1"/>
    <xf numFmtId="42" fontId="1" fillId="0" borderId="0" xfId="0" applyNumberFormat="1" applyFont="1" applyBorder="1"/>
    <xf numFmtId="0" fontId="1" fillId="0" borderId="0" xfId="0" applyFont="1" applyBorder="1"/>
    <xf numFmtId="0" fontId="3" fillId="0" borderId="0" xfId="0" applyFont="1" applyBorder="1"/>
    <xf numFmtId="166" fontId="1" fillId="0" borderId="0" xfId="1" applyNumberFormat="1" applyFont="1" applyBorder="1"/>
    <xf numFmtId="41" fontId="3" fillId="0" borderId="0" xfId="0" applyNumberFormat="1" applyFont="1" applyBorder="1"/>
    <xf numFmtId="41" fontId="4" fillId="0" borderId="0" xfId="1" applyNumberFormat="1" applyFont="1" applyBorder="1"/>
    <xf numFmtId="41" fontId="5" fillId="0" borderId="0" xfId="2" applyNumberFormat="1" applyFont="1" applyBorder="1"/>
    <xf numFmtId="41" fontId="4" fillId="0" borderId="0" xfId="0" applyNumberFormat="1" applyFont="1"/>
    <xf numFmtId="41" fontId="3" fillId="0" borderId="0" xfId="0" applyNumberFormat="1" applyFont="1"/>
    <xf numFmtId="41" fontId="1" fillId="0" borderId="7" xfId="2" applyNumberFormat="1" applyFont="1" applyBorder="1"/>
    <xf numFmtId="164" fontId="1" fillId="0" borderId="8" xfId="2" applyNumberFormat="1" applyFont="1" applyBorder="1"/>
    <xf numFmtId="0" fontId="1" fillId="0" borderId="0" xfId="0" applyFont="1" applyFill="1" applyBorder="1"/>
    <xf numFmtId="41" fontId="1" fillId="0" borderId="0" xfId="0" applyNumberFormat="1" applyFont="1" applyFill="1" applyBorder="1"/>
    <xf numFmtId="41" fontId="1" fillId="0" borderId="4" xfId="1" applyNumberFormat="1" applyFont="1" applyBorder="1"/>
    <xf numFmtId="0" fontId="1" fillId="0" borderId="5" xfId="0" applyFont="1" applyFill="1" applyBorder="1"/>
    <xf numFmtId="166" fontId="1" fillId="0" borderId="5" xfId="1" applyNumberFormat="1" applyFont="1" applyBorder="1"/>
    <xf numFmtId="42" fontId="1" fillId="0" borderId="0" xfId="2" applyNumberFormat="1" applyFont="1" applyBorder="1"/>
    <xf numFmtId="41" fontId="1" fillId="0" borderId="0" xfId="2" applyNumberFormat="1" applyFont="1"/>
    <xf numFmtId="41" fontId="1" fillId="0" borderId="5" xfId="2" applyNumberFormat="1" applyFont="1" applyBorder="1"/>
    <xf numFmtId="42" fontId="1" fillId="0" borderId="0" xfId="2" applyNumberFormat="1" applyFont="1"/>
    <xf numFmtId="42" fontId="1" fillId="0" borderId="6" xfId="2" applyNumberFormat="1" applyFont="1" applyBorder="1" applyAlignment="1">
      <alignment horizontal="left"/>
    </xf>
    <xf numFmtId="42" fontId="1" fillId="0" borderId="6" xfId="2" applyNumberFormat="1" applyFont="1" applyBorder="1"/>
    <xf numFmtId="41" fontId="3" fillId="0" borderId="0" xfId="0" applyNumberFormat="1" applyFont="1" applyBorder="1" applyAlignment="1"/>
    <xf numFmtId="41" fontId="1" fillId="0" borderId="4" xfId="0" applyNumberFormat="1" applyFont="1" applyBorder="1"/>
    <xf numFmtId="41" fontId="1" fillId="0" borderId="8" xfId="2" applyNumberFormat="1" applyFont="1" applyBorder="1"/>
    <xf numFmtId="41" fontId="1" fillId="0" borderId="8" xfId="0" applyNumberFormat="1" applyFont="1" applyBorder="1"/>
    <xf numFmtId="41" fontId="3" fillId="0" borderId="0" xfId="1" applyNumberFormat="1" applyFont="1" applyBorder="1"/>
    <xf numFmtId="41" fontId="3" fillId="0" borderId="0" xfId="0" applyNumberFormat="1" applyFont="1" applyBorder="1" applyAlignment="1">
      <alignment horizontal="left"/>
    </xf>
    <xf numFmtId="41" fontId="3" fillId="0" borderId="4" xfId="0" applyNumberFormat="1" applyFont="1" applyBorder="1"/>
    <xf numFmtId="41" fontId="6" fillId="0" borderId="4" xfId="0" applyNumberFormat="1" applyFont="1" applyBorder="1" applyAlignment="1">
      <alignment horizontal="left"/>
    </xf>
    <xf numFmtId="41" fontId="6" fillId="0" borderId="0" xfId="0" applyNumberFormat="1" applyFont="1"/>
    <xf numFmtId="41" fontId="1" fillId="0" borderId="0" xfId="2" applyNumberFormat="1" applyFont="1" applyAlignment="1">
      <alignment horizontal="right"/>
    </xf>
    <xf numFmtId="41" fontId="1" fillId="0" borderId="0" xfId="0" applyNumberFormat="1" applyFont="1" applyAlignment="1">
      <alignment horizontal="right"/>
    </xf>
    <xf numFmtId="41" fontId="1" fillId="0" borderId="4" xfId="2" applyNumberFormat="1" applyFont="1" applyBorder="1"/>
    <xf numFmtId="42" fontId="1" fillId="0" borderId="0" xfId="2" applyNumberFormat="1" applyFont="1" applyAlignment="1">
      <alignment horizontal="right"/>
    </xf>
    <xf numFmtId="41" fontId="1" fillId="0" borderId="0" xfId="0" applyNumberFormat="1" applyFont="1" applyAlignment="1">
      <alignment horizontal="left" wrapText="1"/>
    </xf>
    <xf numFmtId="41" fontId="3" fillId="0" borderId="0" xfId="1" applyNumberFormat="1" applyFont="1" applyBorder="1" applyAlignment="1">
      <alignment horizontal="left"/>
    </xf>
    <xf numFmtId="41" fontId="1" fillId="0" borderId="5" xfId="0" applyNumberFormat="1" applyFont="1" applyBorder="1" applyAlignment="1">
      <alignment horizontal="center"/>
    </xf>
    <xf numFmtId="41" fontId="3" fillId="0" borderId="5" xfId="0" applyNumberFormat="1" applyFont="1" applyBorder="1" applyAlignment="1">
      <alignment horizontal="center"/>
    </xf>
    <xf numFmtId="0" fontId="1" fillId="0" borderId="5" xfId="0" applyFont="1" applyBorder="1"/>
    <xf numFmtId="42" fontId="1" fillId="0" borderId="6" xfId="0" applyNumberFormat="1" applyFont="1" applyBorder="1"/>
    <xf numFmtId="41" fontId="3" fillId="0" borderId="0" xfId="0" applyNumberFormat="1" applyFont="1" applyAlignment="1"/>
    <xf numFmtId="41" fontId="3" fillId="0" borderId="0" xfId="1" applyNumberFormat="1" applyFont="1" applyBorder="1" applyAlignment="1"/>
    <xf numFmtId="42" fontId="1" fillId="0" borderId="8" xfId="2" applyNumberFormat="1" applyFont="1" applyBorder="1" applyAlignment="1">
      <alignment horizontal="left"/>
    </xf>
    <xf numFmtId="42" fontId="1" fillId="0" borderId="8" xfId="2" applyNumberFormat="1" applyFont="1" applyBorder="1"/>
    <xf numFmtId="42" fontId="1" fillId="0" borderId="0" xfId="0" applyNumberFormat="1" applyFont="1" applyBorder="1" applyAlignment="1">
      <alignment horizontal="left"/>
    </xf>
    <xf numFmtId="42" fontId="1" fillId="0" borderId="0" xfId="1" applyNumberFormat="1" applyFont="1" applyBorder="1"/>
    <xf numFmtId="41" fontId="3" fillId="0" borderId="0" xfId="0" applyNumberFormat="1" applyFont="1" applyFill="1" applyAlignment="1"/>
    <xf numFmtId="41" fontId="1" fillId="0" borderId="0" xfId="0" quotePrefix="1" applyNumberFormat="1" applyFont="1" applyFill="1" applyAlignment="1"/>
    <xf numFmtId="41" fontId="1" fillId="5" borderId="0" xfId="1" applyNumberFormat="1" applyFont="1" applyFill="1" applyBorder="1"/>
    <xf numFmtId="41" fontId="1" fillId="0" borderId="0" xfId="1" applyNumberFormat="1" applyFont="1" applyFill="1" applyBorder="1"/>
    <xf numFmtId="41" fontId="1" fillId="5" borderId="0" xfId="0" applyNumberFormat="1" applyFont="1" applyFill="1" applyAlignment="1"/>
    <xf numFmtId="0" fontId="2" fillId="0" borderId="0" xfId="0" applyFont="1" applyAlignment="1">
      <alignment horizontal="left"/>
    </xf>
    <xf numFmtId="41" fontId="0" fillId="0" borderId="0" xfId="0" applyNumberFormat="1"/>
    <xf numFmtId="0" fontId="0" fillId="0" borderId="0" xfId="0" applyAlignment="1">
      <alignment horizontal="right"/>
    </xf>
    <xf numFmtId="0" fontId="2" fillId="0" borderId="0" xfId="0" applyFont="1"/>
    <xf numFmtId="0" fontId="2" fillId="0" borderId="0" xfId="0" quotePrefix="1" applyFont="1" applyAlignment="1">
      <alignment horizontal="right"/>
    </xf>
    <xf numFmtId="0" fontId="2" fillId="0" borderId="0" xfId="0" applyFont="1" applyAlignment="1">
      <alignment horizontal="right"/>
    </xf>
    <xf numFmtId="16" fontId="2" fillId="0" borderId="0" xfId="0" quotePrefix="1" applyNumberFormat="1" applyFont="1" applyAlignment="1">
      <alignment horizontal="right"/>
    </xf>
    <xf numFmtId="41" fontId="1" fillId="5" borderId="0" xfId="0" applyNumberFormat="1" applyFont="1" applyFill="1" applyBorder="1"/>
    <xf numFmtId="41" fontId="1" fillId="5" borderId="5" xfId="0" applyNumberFormat="1" applyFont="1" applyFill="1" applyBorder="1"/>
    <xf numFmtId="41" fontId="1" fillId="0" borderId="7" xfId="0" applyNumberFormat="1" applyFont="1" applyFill="1" applyBorder="1"/>
    <xf numFmtId="41" fontId="1" fillId="0" borderId="4" xfId="0" applyNumberFormat="1" applyFont="1" applyFill="1" applyBorder="1"/>
    <xf numFmtId="41" fontId="1" fillId="0" borderId="5" xfId="0" applyNumberFormat="1" applyFont="1" applyFill="1" applyBorder="1"/>
    <xf numFmtId="42" fontId="1" fillId="0" borderId="0" xfId="2" applyNumberFormat="1" applyFont="1" applyFill="1"/>
    <xf numFmtId="41" fontId="1" fillId="0" borderId="0" xfId="2" applyNumberFormat="1" applyFont="1" applyFill="1"/>
    <xf numFmtId="41" fontId="1" fillId="0" borderId="7" xfId="1" applyNumberFormat="1" applyFont="1" applyFill="1" applyBorder="1"/>
    <xf numFmtId="41" fontId="1" fillId="0" borderId="0" xfId="1" applyNumberFormat="1" applyFont="1" applyFill="1"/>
    <xf numFmtId="41" fontId="1" fillId="0" borderId="4" xfId="1" applyNumberFormat="1" applyFont="1" applyFill="1" applyBorder="1"/>
    <xf numFmtId="41" fontId="1" fillId="5" borderId="1" xfId="0" applyNumberFormat="1" applyFont="1" applyFill="1" applyBorder="1" applyAlignment="1"/>
    <xf numFmtId="41" fontId="3" fillId="5" borderId="0" xfId="0" applyNumberFormat="1" applyFont="1" applyFill="1" applyAlignment="1"/>
    <xf numFmtId="41" fontId="1" fillId="0" borderId="0" xfId="0" applyNumberFormat="1" applyFont="1" applyFill="1" applyAlignment="1">
      <alignment textRotation="90"/>
    </xf>
    <xf numFmtId="41" fontId="3" fillId="0" borderId="0" xfId="0" applyNumberFormat="1" applyFont="1" applyFill="1" applyAlignment="1">
      <alignment horizontal="center"/>
    </xf>
    <xf numFmtId="41" fontId="3" fillId="0" borderId="1" xfId="0" applyNumberFormat="1" applyFont="1" applyBorder="1" applyAlignment="1"/>
    <xf numFmtId="41" fontId="3" fillId="0" borderId="1" xfId="0" applyNumberFormat="1" applyFont="1" applyFill="1" applyBorder="1" applyAlignment="1"/>
    <xf numFmtId="41" fontId="3" fillId="3" borderId="0" xfId="0" applyNumberFormat="1" applyFont="1" applyFill="1" applyAlignment="1"/>
    <xf numFmtId="41" fontId="3" fillId="0" borderId="3" xfId="0" applyNumberFormat="1" applyFont="1" applyBorder="1" applyAlignment="1"/>
    <xf numFmtId="41" fontId="3" fillId="0" borderId="3" xfId="0" applyNumberFormat="1" applyFont="1" applyFill="1" applyBorder="1" applyAlignment="1"/>
    <xf numFmtId="41" fontId="3" fillId="0" borderId="2" xfId="0" applyNumberFormat="1" applyFont="1" applyBorder="1" applyAlignment="1"/>
    <xf numFmtId="41" fontId="3" fillId="0" borderId="2" xfId="0" applyNumberFormat="1" applyFont="1" applyFill="1" applyBorder="1" applyAlignment="1"/>
    <xf numFmtId="164" fontId="3" fillId="0" borderId="0" xfId="2" applyNumberFormat="1" applyFont="1"/>
    <xf numFmtId="164" fontId="3" fillId="0" borderId="6" xfId="2" applyNumberFormat="1" applyFont="1" applyBorder="1"/>
    <xf numFmtId="41" fontId="1" fillId="0" borderId="0" xfId="0" applyNumberFormat="1" applyFont="1" applyFill="1" applyAlignment="1">
      <alignment horizontal="center"/>
    </xf>
    <xf numFmtId="41" fontId="1" fillId="0" borderId="0" xfId="0" applyNumberFormat="1" applyFont="1" applyAlignment="1">
      <alignment horizontal="center"/>
    </xf>
    <xf numFmtId="41" fontId="3" fillId="0" borderId="0" xfId="0" applyNumberFormat="1" applyFont="1" applyBorder="1" applyAlignment="1">
      <alignment horizontal="center"/>
    </xf>
    <xf numFmtId="41" fontId="3" fillId="0" borderId="0" xfId="0" applyNumberFormat="1" applyFont="1" applyAlignment="1">
      <alignment horizontal="center"/>
    </xf>
    <xf numFmtId="41" fontId="3" fillId="0" borderId="0" xfId="1" applyNumberFormat="1" applyFont="1" applyBorder="1" applyAlignment="1">
      <alignment horizontal="center"/>
    </xf>
    <xf numFmtId="41" fontId="1" fillId="0" borderId="0" xfId="0" applyNumberFormat="1" applyFont="1" applyBorder="1" applyAlignment="1"/>
    <xf numFmtId="41" fontId="1" fillId="0" borderId="0" xfId="0" applyNumberFormat="1" applyFont="1" applyBorder="1" applyAlignment="1">
      <alignment horizontal="center"/>
    </xf>
    <xf numFmtId="41" fontId="1" fillId="0" borderId="0" xfId="0" applyNumberFormat="1" applyFont="1" applyAlignment="1">
      <alignment wrapText="1"/>
    </xf>
    <xf numFmtId="41" fontId="3" fillId="0" borderId="4" xfId="0" applyNumberFormat="1" applyFont="1" applyBorder="1" applyAlignment="1">
      <alignment horizontal="center"/>
    </xf>
    <xf numFmtId="41" fontId="1" fillId="0" borderId="0" xfId="0" applyNumberFormat="1" applyFont="1" applyFill="1" applyAlignment="1">
      <alignment horizontal="center"/>
    </xf>
    <xf numFmtId="41" fontId="1" fillId="0" borderId="0" xfId="0" applyNumberFormat="1" applyFont="1" applyFill="1" applyAlignment="1">
      <alignment horizontal="center"/>
    </xf>
    <xf numFmtId="41" fontId="1" fillId="0" borderId="0" xfId="0" applyNumberFormat="1" applyFont="1" applyAlignment="1">
      <alignment horizontal="center"/>
    </xf>
    <xf numFmtId="41" fontId="3" fillId="0" borderId="0" xfId="0" applyNumberFormat="1" applyFont="1" applyBorder="1" applyAlignment="1">
      <alignment horizontal="center"/>
    </xf>
    <xf numFmtId="41" fontId="3" fillId="0" borderId="0" xfId="0" applyNumberFormat="1" applyFont="1" applyAlignment="1">
      <alignment horizontal="center"/>
    </xf>
    <xf numFmtId="41" fontId="3" fillId="0" borderId="0" xfId="1" applyNumberFormat="1" applyFont="1" applyBorder="1" applyAlignment="1">
      <alignment horizontal="center"/>
    </xf>
    <xf numFmtId="41" fontId="1" fillId="0" borderId="0" xfId="0" applyNumberFormat="1" applyFont="1" applyBorder="1" applyAlignment="1"/>
    <xf numFmtId="0" fontId="3" fillId="0" borderId="0" xfId="0" applyFont="1" applyBorder="1" applyAlignment="1">
      <alignment horizontal="center"/>
    </xf>
    <xf numFmtId="41" fontId="1" fillId="0" borderId="0" xfId="0" applyNumberFormat="1" applyFont="1" applyBorder="1" applyAlignment="1">
      <alignment horizontal="center"/>
    </xf>
    <xf numFmtId="41" fontId="1" fillId="0" borderId="0" xfId="0" applyNumberFormat="1" applyFont="1" applyAlignment="1">
      <alignment wrapText="1"/>
    </xf>
    <xf numFmtId="41" fontId="3" fillId="0" borderId="4" xfId="0" applyNumberFormat="1" applyFont="1" applyBorder="1" applyAlignment="1">
      <alignment horizontal="center"/>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
  <Relationship Id="rId1" Type="http://schemas.openxmlformats.org/officeDocument/2006/relationships/worksheet" Target="worksheets/sheet1.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 Type="http://schemas.openxmlformats.org/officeDocument/2006/relationships/worksheet" Target="worksheets/sheet2.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 Type="http://schemas.openxmlformats.org/officeDocument/2006/relationships/worksheet" Target="worksheets/sheet3.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 Type="http://schemas.openxmlformats.org/officeDocument/2006/relationships/worksheet" Target="worksheets/sheet4.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theme" Target="theme/theme1.xml"/>
  <Relationship Id="rId45" Type="http://schemas.openxmlformats.org/officeDocument/2006/relationships/styles" Target="styles.xml"/>
  <Relationship Id="rId46" Type="http://schemas.openxmlformats.org/officeDocument/2006/relationships/sharedStrings" Target="sharedStrings.xml"/>
  <Relationship Id="rId47" Type="http://schemas.openxmlformats.org/officeDocument/2006/relationships/calcChain" Target="calcChain.xml"/>
  <Relationship Id="rId48" Type="http://schemas.openxmlformats.org/officeDocument/2006/relationships/customXml" Target="../customXml/item1.xml"/>
  <Relationship Id="rId49" Type="http://schemas.openxmlformats.org/officeDocument/2006/relationships/customXml" Target="../customXml/item2.xml"/>
  <Relationship Id="rId5" Type="http://schemas.openxmlformats.org/officeDocument/2006/relationships/worksheet" Target="worksheets/sheet5.xml"/>
  <Relationship Id="rId50" Type="http://schemas.openxmlformats.org/officeDocument/2006/relationships/customXml" Target="../customXml/item3.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148"/>
  <sheetViews>
    <sheetView tabSelected="1" showOutlineSymbols="0" workbookViewId="0">
      <pane xSplit="2" ySplit="8" topLeftCell="C9" activePane="bottomRight" state="frozen"/>
      <selection pane="topRight" activeCell="C1" sqref="C1"/>
      <selection pane="bottomLeft" activeCell="A9" sqref="A9"/>
      <selection pane="bottomRight" sqref="A1:X1"/>
    </sheetView>
  </sheetViews>
  <sheetFormatPr baseColWidth="10" defaultColWidth="9.5703125" defaultRowHeight="13" x14ac:dyDescent="0"/>
  <cols>
    <col min="1" max="1" width="2.5703125" style="3" customWidth="1"/>
    <col min="2" max="2" width="35.5703125" style="3" customWidth="1"/>
    <col min="3" max="3" width="9.5703125" style="3" customWidth="1"/>
    <col min="4" max="4" width="1.5703125" style="3" customWidth="1"/>
    <col min="5" max="5" width="9.5703125" style="4" customWidth="1"/>
    <col min="6" max="6" width="1.5703125" style="4" customWidth="1"/>
    <col min="7" max="7" width="4.5703125" style="4" customWidth="1"/>
    <col min="8" max="8" width="9.5703125" style="4" customWidth="1"/>
    <col min="9" max="9" width="1.5703125" style="4" customWidth="1"/>
    <col min="10" max="10" width="9.5703125" style="4" customWidth="1"/>
    <col min="11" max="11" width="4.5703125" style="4" customWidth="1"/>
    <col min="12" max="12" width="1.5703125" style="4" customWidth="1"/>
    <col min="13" max="14" width="9.5703125" style="4" customWidth="1"/>
    <col min="15" max="15" width="1.5703125" style="4" customWidth="1"/>
    <col min="16" max="16" width="9.5703125" style="4" customWidth="1"/>
    <col min="17" max="17" width="1.5703125" style="4" customWidth="1"/>
    <col min="18" max="18" width="9.5703125" style="4" customWidth="1"/>
    <col min="19" max="19" width="2.5703125" style="3" customWidth="1"/>
    <col min="20" max="20" width="9.5703125" style="3" customWidth="1"/>
    <col min="21" max="21" width="1.5703125" style="3" customWidth="1"/>
    <col min="22" max="22" width="9.5703125" style="3" customWidth="1"/>
    <col min="23" max="23" width="2.5703125" style="3" customWidth="1"/>
    <col min="24" max="24" width="9.5703125" style="3" customWidth="1"/>
    <col min="25" max="16384" width="9.5703125" style="3"/>
  </cols>
  <sheetData>
    <row r="1" spans="1:24">
      <c r="A1" s="152" t="s">
        <v>0</v>
      </c>
      <c r="B1" s="152"/>
      <c r="C1" s="152"/>
      <c r="D1" s="152"/>
      <c r="E1" s="152"/>
      <c r="F1" s="152"/>
      <c r="G1" s="152"/>
      <c r="H1" s="152"/>
      <c r="I1" s="152"/>
      <c r="J1" s="152"/>
      <c r="K1" s="152"/>
      <c r="L1" s="152"/>
      <c r="M1" s="152"/>
      <c r="N1" s="152"/>
      <c r="O1" s="152"/>
      <c r="P1" s="152"/>
      <c r="Q1" s="152"/>
      <c r="R1" s="152"/>
      <c r="S1" s="152"/>
      <c r="T1" s="152"/>
      <c r="U1" s="152"/>
      <c r="V1" s="152"/>
      <c r="W1" s="152"/>
      <c r="X1" s="152"/>
    </row>
    <row r="2" spans="1:24">
      <c r="A2" s="152" t="s">
        <v>1</v>
      </c>
      <c r="B2" s="152"/>
      <c r="C2" s="152"/>
      <c r="D2" s="152"/>
      <c r="E2" s="152"/>
      <c r="F2" s="152"/>
      <c r="G2" s="152"/>
      <c r="H2" s="152"/>
      <c r="I2" s="152"/>
      <c r="J2" s="152"/>
      <c r="K2" s="152"/>
      <c r="L2" s="152"/>
      <c r="M2" s="152"/>
      <c r="N2" s="152"/>
      <c r="O2" s="152"/>
      <c r="P2" s="152"/>
      <c r="Q2" s="152"/>
      <c r="R2" s="152"/>
      <c r="S2" s="152"/>
      <c r="T2" s="152"/>
      <c r="U2" s="152"/>
      <c r="V2" s="152"/>
      <c r="W2" s="152"/>
      <c r="X2" s="152"/>
    </row>
    <row r="3" spans="1:24">
      <c r="A3" s="152" t="s">
        <v>2</v>
      </c>
      <c r="B3" s="152"/>
      <c r="C3" s="152"/>
      <c r="D3" s="152"/>
      <c r="E3" s="152"/>
      <c r="F3" s="152"/>
      <c r="G3" s="152"/>
      <c r="H3" s="152"/>
      <c r="I3" s="152"/>
      <c r="J3" s="152"/>
      <c r="K3" s="152"/>
      <c r="L3" s="152"/>
      <c r="M3" s="152"/>
      <c r="N3" s="152"/>
      <c r="O3" s="152"/>
      <c r="P3" s="152"/>
      <c r="Q3" s="152"/>
      <c r="R3" s="152"/>
      <c r="S3" s="152"/>
      <c r="T3" s="152"/>
      <c r="U3" s="152"/>
      <c r="V3" s="152"/>
      <c r="W3" s="152"/>
      <c r="X3" s="152"/>
    </row>
    <row r="4" spans="1:24">
      <c r="B4" s="3" t="s">
        <v>3</v>
      </c>
      <c r="C4" s="3">
        <f>IF(C145&gt;E145,0,+E145-C145)</f>
        <v>0</v>
      </c>
      <c r="E4" s="3">
        <f>IF(E145&gt;C145,0,+C145-E145)</f>
        <v>0</v>
      </c>
      <c r="F4" s="3"/>
      <c r="G4" s="3"/>
      <c r="H4" s="3">
        <f>IF(H145&gt;J145,0,+J145-H145)</f>
        <v>0</v>
      </c>
      <c r="I4" s="3"/>
      <c r="J4" s="3">
        <f>IF(J145&gt;H145,0,+H145-J145)</f>
        <v>0</v>
      </c>
      <c r="K4" s="3"/>
      <c r="L4" s="3"/>
      <c r="M4" s="3"/>
      <c r="N4" s="3">
        <f>IF(N145&gt;P145,0,+P145-N145)</f>
        <v>0</v>
      </c>
      <c r="O4" s="3"/>
      <c r="P4" s="3">
        <f>IF(P145&gt;N145,0,+N145-P145)</f>
        <v>0</v>
      </c>
      <c r="Q4" s="3"/>
      <c r="R4" s="3">
        <f>IF(R147&gt;T147,0,+T147-R147)</f>
        <v>0</v>
      </c>
      <c r="T4" s="3">
        <f>IF(T147&gt;R147,0,+R147-T147)</f>
        <v>0</v>
      </c>
      <c r="V4" s="3">
        <f>IF(V147&gt;X147,0,+X147-V147)</f>
        <v>0</v>
      </c>
      <c r="X4" s="3">
        <f>IF(X147&gt;V147,0,+V147-X147)</f>
        <v>0</v>
      </c>
    </row>
    <row r="5" spans="1:24" ht="5" customHeight="1"/>
    <row r="6" spans="1:24">
      <c r="C6" s="1" t="s">
        <v>4</v>
      </c>
      <c r="D6" s="1"/>
      <c r="E6" s="2"/>
      <c r="N6" s="2" t="s">
        <v>4</v>
      </c>
      <c r="O6" s="2"/>
      <c r="P6" s="2"/>
      <c r="V6" s="1"/>
      <c r="W6" s="1"/>
      <c r="X6" s="1"/>
    </row>
    <row r="7" spans="1:24" ht="15.75" customHeight="1">
      <c r="C7" s="1" t="s">
        <v>5</v>
      </c>
      <c r="D7" s="1"/>
      <c r="E7" s="2"/>
      <c r="F7" s="151" t="s">
        <v>6</v>
      </c>
      <c r="G7" s="151"/>
      <c r="H7" s="151"/>
      <c r="I7" s="151"/>
      <c r="J7" s="151"/>
      <c r="K7" s="151"/>
      <c r="L7" s="151"/>
      <c r="N7" s="2" t="s">
        <v>7</v>
      </c>
      <c r="O7" s="2"/>
      <c r="P7" s="2"/>
      <c r="R7" s="2" t="s">
        <v>8</v>
      </c>
      <c r="S7" s="1"/>
      <c r="T7" s="1"/>
      <c r="V7" s="1" t="s">
        <v>9</v>
      </c>
      <c r="W7" s="1"/>
      <c r="X7" s="1"/>
    </row>
    <row r="8" spans="1:24">
      <c r="A8" s="130"/>
      <c r="B8" s="142" t="s">
        <v>10</v>
      </c>
      <c r="C8" s="6" t="s">
        <v>11</v>
      </c>
      <c r="D8" s="7"/>
      <c r="E8" s="8" t="s">
        <v>12</v>
      </c>
      <c r="F8" s="16"/>
      <c r="G8" s="8" t="s">
        <v>13</v>
      </c>
      <c r="H8" s="9" t="s">
        <v>11</v>
      </c>
      <c r="I8" s="10"/>
      <c r="J8" s="8" t="s">
        <v>12</v>
      </c>
      <c r="K8" s="8" t="s">
        <v>13</v>
      </c>
      <c r="N8" s="8" t="s">
        <v>11</v>
      </c>
      <c r="O8" s="10"/>
      <c r="P8" s="8" t="s">
        <v>12</v>
      </c>
      <c r="R8" s="8" t="s">
        <v>11</v>
      </c>
      <c r="S8" s="128">
        <v>2</v>
      </c>
      <c r="T8" s="11" t="s">
        <v>12</v>
      </c>
      <c r="V8" s="6" t="s">
        <v>11</v>
      </c>
      <c r="W8" s="128">
        <v>1</v>
      </c>
      <c r="X8" s="6" t="s">
        <v>12</v>
      </c>
    </row>
    <row r="9" spans="1:24">
      <c r="A9" s="129"/>
      <c r="B9" s="100" t="s">
        <v>14</v>
      </c>
      <c r="C9" s="132">
        <v>1000000</v>
      </c>
      <c r="D9" s="100"/>
      <c r="E9" s="133"/>
      <c r="F9" s="16"/>
      <c r="G9" s="8"/>
      <c r="H9" s="10"/>
      <c r="I9" s="141"/>
      <c r="J9" s="10"/>
      <c r="K9" s="8"/>
      <c r="M9" s="4">
        <f>C9-E9+SUM(H9:H16)-SUM(J9:J16)</f>
        <v>2002140</v>
      </c>
      <c r="N9" s="10">
        <f>IF(M9&gt;0,+M9,0)</f>
        <v>2002140</v>
      </c>
      <c r="P9" s="10">
        <f>IF(M9&lt;0,-M9,0)</f>
        <v>0</v>
      </c>
      <c r="R9" s="10">
        <f>IF($A9=$S$8,+N9,0)</f>
        <v>0</v>
      </c>
      <c r="T9" s="7">
        <f>IF($A9=$S$8,+P9,0)</f>
        <v>0</v>
      </c>
      <c r="V9" s="7">
        <f>IF($A9=$W$8,+N9,0)</f>
        <v>0</v>
      </c>
      <c r="X9" s="7">
        <f>IF($A9=$W$8,+P9,0)</f>
        <v>0</v>
      </c>
    </row>
    <row r="10" spans="1:24">
      <c r="A10" s="106"/>
      <c r="B10" s="100"/>
      <c r="C10" s="100"/>
      <c r="D10" s="100"/>
      <c r="E10" s="106"/>
      <c r="G10" s="131" t="s">
        <v>15</v>
      </c>
      <c r="H10" s="106">
        <v>200000</v>
      </c>
      <c r="I10" s="141"/>
      <c r="K10" s="141"/>
    </row>
    <row r="11" spans="1:24">
      <c r="A11" s="106"/>
      <c r="B11" s="100"/>
      <c r="C11" s="100"/>
      <c r="D11" s="100"/>
      <c r="E11" s="106"/>
      <c r="G11" s="131" t="s">
        <v>15</v>
      </c>
      <c r="H11" s="106">
        <v>559140</v>
      </c>
      <c r="I11" s="141"/>
      <c r="K11" s="141"/>
    </row>
    <row r="12" spans="1:24">
      <c r="A12" s="106"/>
      <c r="B12" s="100"/>
      <c r="C12" s="100"/>
      <c r="D12" s="100"/>
      <c r="E12" s="106"/>
      <c r="G12" s="141"/>
      <c r="I12" s="141"/>
      <c r="K12" s="141"/>
    </row>
    <row r="13" spans="1:24">
      <c r="A13" s="106"/>
      <c r="B13" s="100"/>
      <c r="C13" s="100"/>
      <c r="D13" s="100"/>
      <c r="E13" s="106"/>
      <c r="G13" s="131" t="s">
        <v>15</v>
      </c>
      <c r="H13" s="106">
        <v>243000</v>
      </c>
      <c r="I13" s="141"/>
      <c r="K13" s="141"/>
    </row>
    <row r="14" spans="1:24">
      <c r="A14" s="106"/>
      <c r="B14" s="100"/>
      <c r="C14" s="100"/>
      <c r="D14" s="100"/>
      <c r="E14" s="106"/>
      <c r="G14" s="141"/>
      <c r="I14" s="141"/>
      <c r="K14" s="141"/>
    </row>
    <row r="15" spans="1:24">
      <c r="A15" s="106"/>
      <c r="B15" s="100"/>
      <c r="C15" s="100"/>
      <c r="D15" s="100"/>
      <c r="E15" s="106"/>
      <c r="G15" s="141"/>
      <c r="I15" s="141"/>
      <c r="K15" s="141"/>
    </row>
    <row r="16" spans="1:24" ht="5" customHeight="1">
      <c r="A16" s="106"/>
      <c r="B16" s="134"/>
      <c r="C16" s="134"/>
      <c r="D16" s="134"/>
      <c r="E16" s="134"/>
      <c r="G16" s="141"/>
      <c r="I16" s="141"/>
      <c r="K16" s="141"/>
    </row>
    <row r="17" spans="1:24">
      <c r="A17" s="129"/>
      <c r="B17" s="100" t="s">
        <v>16</v>
      </c>
      <c r="C17" s="100">
        <v>480000</v>
      </c>
      <c r="D17" s="100"/>
      <c r="E17" s="106"/>
      <c r="G17" s="141"/>
      <c r="I17" s="141"/>
      <c r="J17" s="106">
        <v>200000</v>
      </c>
      <c r="K17" s="131" t="s">
        <v>15</v>
      </c>
      <c r="M17" s="4">
        <f>C17-E17+SUM(H17:H18)-SUM(J17:J18)</f>
        <v>280000</v>
      </c>
      <c r="N17" s="4">
        <f>IF(M17&gt;0,+M17,0)</f>
        <v>280000</v>
      </c>
      <c r="P17" s="4">
        <f>IF(M17&lt;0,-M17,0)</f>
        <v>0</v>
      </c>
      <c r="R17" s="4">
        <f>IF($A17=$S$8,+N17,0)</f>
        <v>0</v>
      </c>
      <c r="T17" s="3">
        <f>IF($A17=$S$8,+P17,0)</f>
        <v>0</v>
      </c>
      <c r="V17" s="3">
        <f>IF($A17=$W$8,+N17,0)</f>
        <v>0</v>
      </c>
      <c r="X17" s="3">
        <f>IF($A17=$W$8,+P17,0)</f>
        <v>0</v>
      </c>
    </row>
    <row r="18" spans="1:24" ht="5" customHeight="1">
      <c r="A18" s="106"/>
      <c r="B18" s="134"/>
      <c r="C18" s="134"/>
      <c r="D18" s="134"/>
      <c r="E18" s="134"/>
      <c r="G18" s="141"/>
      <c r="I18" s="141"/>
      <c r="K18" s="141"/>
    </row>
    <row r="19" spans="1:24">
      <c r="A19" s="129"/>
      <c r="B19" s="100" t="s">
        <v>17</v>
      </c>
      <c r="C19" s="100"/>
      <c r="D19" s="100"/>
      <c r="E19" s="106"/>
      <c r="G19" s="141"/>
      <c r="I19" s="141"/>
      <c r="K19" s="141"/>
      <c r="M19" s="4">
        <f>C19-E19+SUM(H19:H21)-SUM(J19:J21)</f>
        <v>0</v>
      </c>
      <c r="N19" s="4">
        <f>IF(M19&gt;0,+M19,0)</f>
        <v>0</v>
      </c>
      <c r="P19" s="4">
        <f>IF(M19&lt;0,-M19,0)</f>
        <v>0</v>
      </c>
      <c r="R19" s="4">
        <f>IF($A19=$S$8,+N19,0)</f>
        <v>0</v>
      </c>
      <c r="T19" s="3">
        <f>IF($A19=$S$8,+P19,0)</f>
        <v>0</v>
      </c>
      <c r="V19" s="3">
        <f>IF($A19=$W$8,+N19,0)</f>
        <v>0</v>
      </c>
      <c r="X19" s="3">
        <f>IF($A19=$W$8,+P19,0)</f>
        <v>0</v>
      </c>
    </row>
    <row r="20" spans="1:24">
      <c r="A20" s="106"/>
      <c r="B20" s="100"/>
      <c r="C20" s="100"/>
      <c r="D20" s="100"/>
      <c r="E20" s="106"/>
      <c r="G20" s="141"/>
      <c r="I20" s="141"/>
      <c r="K20" s="141"/>
    </row>
    <row r="21" spans="1:24" ht="5" customHeight="1">
      <c r="A21" s="106"/>
      <c r="B21" s="134"/>
      <c r="C21" s="134"/>
      <c r="D21" s="134"/>
      <c r="E21" s="134"/>
      <c r="G21" s="141"/>
      <c r="I21" s="141"/>
      <c r="K21" s="141"/>
    </row>
    <row r="22" spans="1:24">
      <c r="A22" s="129"/>
      <c r="B22" s="100" t="s">
        <v>18</v>
      </c>
      <c r="C22" s="100"/>
      <c r="D22" s="100"/>
      <c r="E22" s="106"/>
      <c r="G22" s="141"/>
      <c r="I22" s="141"/>
      <c r="K22" s="141"/>
      <c r="M22" s="4">
        <f>C22-E22+SUM(H22:H23)-SUM(J22:J23)</f>
        <v>0</v>
      </c>
      <c r="N22" s="4">
        <f>IF(M22&gt;0,+M22,0)</f>
        <v>0</v>
      </c>
      <c r="P22" s="4">
        <f>IF(M22&lt;0,-M22,0)</f>
        <v>0</v>
      </c>
      <c r="R22" s="4">
        <f>IF($A22=$S$8,+N22,0)</f>
        <v>0</v>
      </c>
      <c r="T22" s="3">
        <f>IF($A22=$S$8,+P22,0)</f>
        <v>0</v>
      </c>
      <c r="V22" s="3">
        <f>IF($A22=$W$8,+N22,0)</f>
        <v>0</v>
      </c>
      <c r="X22" s="3">
        <f>IF($A22=$W$8,+P22,0)</f>
        <v>0</v>
      </c>
    </row>
    <row r="23" spans="1:24" ht="5" customHeight="1">
      <c r="A23" s="106"/>
      <c r="B23" s="134"/>
      <c r="C23" s="134"/>
      <c r="D23" s="134"/>
      <c r="E23" s="134"/>
      <c r="G23" s="141"/>
      <c r="I23" s="141"/>
      <c r="K23" s="141"/>
    </row>
    <row r="24" spans="1:24">
      <c r="A24" s="129"/>
      <c r="B24" s="100" t="s">
        <v>19</v>
      </c>
      <c r="C24" s="100">
        <f>160000-79100</f>
        <v>80900</v>
      </c>
      <c r="D24" s="100"/>
      <c r="E24" s="106"/>
      <c r="G24" s="141"/>
      <c r="I24" s="141"/>
      <c r="J24" s="106">
        <v>216000</v>
      </c>
      <c r="K24" s="131" t="s">
        <v>15</v>
      </c>
      <c r="M24" s="4">
        <f>C24-E24+SUM(H24:H27)-SUM(J24:J27)</f>
        <v>-135100</v>
      </c>
      <c r="N24" s="4">
        <f>IF(M24&gt;0,+M24,0)</f>
        <v>0</v>
      </c>
      <c r="P24" s="4">
        <f>IF(M24&lt;0,-M24,0)</f>
        <v>135100</v>
      </c>
      <c r="R24" s="4">
        <f>IF($A24=$S$8,+N24,0)</f>
        <v>0</v>
      </c>
      <c r="T24" s="3">
        <f>IF($A24=$S$8,+P24,0)</f>
        <v>0</v>
      </c>
      <c r="V24" s="3">
        <f>IF($A24=$W$8,+N24,0)</f>
        <v>0</v>
      </c>
      <c r="X24" s="3">
        <f>IF($A24=$W$8,+P24,0)</f>
        <v>0</v>
      </c>
    </row>
    <row r="25" spans="1:24">
      <c r="A25" s="106"/>
      <c r="B25" s="100"/>
      <c r="C25" s="100"/>
      <c r="D25" s="100"/>
      <c r="E25" s="106"/>
      <c r="G25" s="141"/>
      <c r="I25" s="141"/>
      <c r="K25" s="141"/>
    </row>
    <row r="26" spans="1:24">
      <c r="A26" s="106"/>
      <c r="B26" s="100"/>
      <c r="C26" s="100"/>
      <c r="D26" s="100"/>
      <c r="E26" s="106"/>
      <c r="G26" s="141"/>
      <c r="I26" s="141"/>
      <c r="K26" s="141"/>
    </row>
    <row r="27" spans="1:24" ht="5" customHeight="1">
      <c r="A27" s="106"/>
      <c r="B27" s="134"/>
      <c r="C27" s="134"/>
      <c r="D27" s="134"/>
      <c r="E27" s="134"/>
      <c r="G27" s="141"/>
      <c r="I27" s="141"/>
      <c r="K27" s="141"/>
    </row>
    <row r="28" spans="1:24">
      <c r="A28" s="129"/>
      <c r="B28" s="100" t="s">
        <v>20</v>
      </c>
      <c r="C28" s="100"/>
      <c r="D28" s="100"/>
      <c r="E28" s="106">
        <v>20000</v>
      </c>
      <c r="G28" s="141"/>
      <c r="I28" s="141"/>
      <c r="K28" s="141"/>
      <c r="M28" s="4">
        <f>C28-E28+SUM(H28:H29)-SUM(J28:J29)</f>
        <v>-20000</v>
      </c>
      <c r="N28" s="4">
        <f>IF(M28&gt;0,+M28,0)</f>
        <v>0</v>
      </c>
      <c r="P28" s="4">
        <f>IF(M28&lt;0,-M28,0)</f>
        <v>20000</v>
      </c>
      <c r="R28" s="4">
        <f>IF($A28=$S$8,+N28,0)</f>
        <v>0</v>
      </c>
      <c r="T28" s="3">
        <f>IF($A28=$S$8,+P28,0)</f>
        <v>0</v>
      </c>
      <c r="V28" s="3">
        <f>IF($A28=$W$8,+N28,0)</f>
        <v>0</v>
      </c>
      <c r="X28" s="3">
        <f>IF($A28=$W$8,+P28,0)</f>
        <v>0</v>
      </c>
    </row>
    <row r="29" spans="1:24" ht="5" customHeight="1">
      <c r="A29" s="106"/>
      <c r="B29" s="134"/>
      <c r="C29" s="134"/>
      <c r="D29" s="134"/>
      <c r="E29" s="134"/>
      <c r="G29" s="141"/>
      <c r="I29" s="141"/>
      <c r="K29" s="141"/>
    </row>
    <row r="30" spans="1:24">
      <c r="A30" s="129"/>
      <c r="B30" s="100" t="s">
        <v>21</v>
      </c>
      <c r="C30" s="100">
        <f>54500-20900</f>
        <v>33600</v>
      </c>
      <c r="D30" s="100"/>
      <c r="E30" s="106"/>
      <c r="G30" s="141"/>
      <c r="I30" s="141"/>
      <c r="J30" s="106">
        <v>27000</v>
      </c>
      <c r="K30" s="131" t="s">
        <v>15</v>
      </c>
      <c r="M30" s="4">
        <f>C30-E30+SUM(H30:H33)-SUM(J30:J33)</f>
        <v>6600</v>
      </c>
      <c r="N30" s="4">
        <f>IF(M30&gt;0,+M30,0)</f>
        <v>6600</v>
      </c>
      <c r="P30" s="4">
        <f>IF(M30&lt;0,-M30,0)</f>
        <v>0</v>
      </c>
      <c r="R30" s="4">
        <f>IF($A30=$S$8,+N30,0)</f>
        <v>0</v>
      </c>
      <c r="T30" s="3">
        <f>IF($A30=$S$8,+P30,0)</f>
        <v>0</v>
      </c>
      <c r="V30" s="3">
        <f>IF($A30=$W$8,+N30,0)</f>
        <v>0</v>
      </c>
      <c r="X30" s="3">
        <f>IF($A30=$W$8,+P30,0)</f>
        <v>0</v>
      </c>
    </row>
    <row r="31" spans="1:24">
      <c r="A31" s="106"/>
      <c r="B31" s="100"/>
      <c r="C31" s="100"/>
      <c r="D31" s="100"/>
      <c r="E31" s="106"/>
      <c r="G31" s="141"/>
      <c r="I31" s="141"/>
      <c r="K31" s="141"/>
    </row>
    <row r="32" spans="1:24">
      <c r="A32" s="106"/>
      <c r="B32" s="100"/>
      <c r="C32" s="100"/>
      <c r="D32" s="100"/>
      <c r="E32" s="106"/>
      <c r="G32" s="141"/>
      <c r="I32" s="141"/>
      <c r="K32" s="141"/>
    </row>
    <row r="33" spans="1:24" ht="5" customHeight="1">
      <c r="A33" s="106"/>
      <c r="B33" s="134"/>
      <c r="C33" s="134"/>
      <c r="D33" s="134"/>
      <c r="E33" s="134"/>
      <c r="G33" s="141"/>
      <c r="I33" s="141"/>
      <c r="K33" s="141"/>
    </row>
    <row r="34" spans="1:24">
      <c r="A34" s="129"/>
      <c r="B34" s="100" t="s">
        <v>22</v>
      </c>
      <c r="C34" s="100"/>
      <c r="D34" s="100"/>
      <c r="E34" s="106">
        <v>17500</v>
      </c>
      <c r="G34" s="141"/>
      <c r="I34" s="141"/>
      <c r="K34" s="141"/>
      <c r="M34" s="4">
        <f>C34-E34+SUM(H34:H35)-SUM(J34:J35)</f>
        <v>-17500</v>
      </c>
      <c r="N34" s="4">
        <f>IF(M34&gt;0,+M34,0)</f>
        <v>0</v>
      </c>
      <c r="P34" s="4">
        <f>IF(M34&lt;0,-M34,0)</f>
        <v>17500</v>
      </c>
      <c r="R34" s="4">
        <f>IF($A34=$S$8,+N34,0)</f>
        <v>0</v>
      </c>
      <c r="T34" s="3">
        <f>IF($A34=$S$8,+P34,0)</f>
        <v>0</v>
      </c>
      <c r="V34" s="3">
        <f>IF($A34=$W$8,+N34,0)</f>
        <v>0</v>
      </c>
      <c r="X34" s="3">
        <f>IF($A34=$W$8,+P34,0)</f>
        <v>0</v>
      </c>
    </row>
    <row r="35" spans="1:24" ht="5" customHeight="1">
      <c r="A35" s="129"/>
      <c r="B35" s="134"/>
      <c r="C35" s="134"/>
      <c r="D35" s="134"/>
      <c r="E35" s="134"/>
      <c r="G35" s="141"/>
      <c r="I35" s="141"/>
      <c r="K35" s="141"/>
    </row>
    <row r="36" spans="1:24">
      <c r="A36" s="129"/>
      <c r="B36" s="100" t="s">
        <v>23</v>
      </c>
      <c r="C36" s="100">
        <v>2000</v>
      </c>
      <c r="D36" s="100"/>
      <c r="E36" s="106"/>
      <c r="G36" s="141"/>
      <c r="I36" s="141"/>
      <c r="J36" s="106">
        <v>2000</v>
      </c>
      <c r="K36" s="131" t="s">
        <v>15</v>
      </c>
      <c r="M36" s="4">
        <f>C36-E36+SUM(H36:H37)-SUM(J36:J37)</f>
        <v>0</v>
      </c>
      <c r="N36" s="4">
        <f>IF(M36&gt;0,+M36,0)</f>
        <v>0</v>
      </c>
      <c r="P36" s="4">
        <f>IF(M36&lt;0,-M36,0)</f>
        <v>0</v>
      </c>
      <c r="R36" s="4">
        <f>IF($A36=$S$8,+N36,0)</f>
        <v>0</v>
      </c>
      <c r="T36" s="3">
        <f>IF($A36=$S$8,+P36,0)</f>
        <v>0</v>
      </c>
      <c r="V36" s="3">
        <f>IF($A36=$W$8,+N36,0)</f>
        <v>0</v>
      </c>
      <c r="X36" s="3">
        <f>IF($A36=$W$8,+P36,0)</f>
        <v>0</v>
      </c>
    </row>
    <row r="37" spans="1:24" ht="5" customHeight="1">
      <c r="A37" s="106"/>
      <c r="B37" s="134"/>
      <c r="C37" s="134"/>
      <c r="D37" s="134"/>
      <c r="E37" s="134"/>
      <c r="G37" s="141"/>
      <c r="I37" s="141"/>
      <c r="K37" s="141"/>
    </row>
    <row r="38" spans="1:24">
      <c r="A38" s="129"/>
      <c r="B38" s="100" t="s">
        <v>24</v>
      </c>
      <c r="C38" s="100">
        <v>53000</v>
      </c>
      <c r="D38" s="100"/>
      <c r="E38" s="106"/>
      <c r="G38" s="141"/>
      <c r="I38" s="141"/>
      <c r="K38" s="141"/>
      <c r="M38" s="4">
        <f>C38-E38+SUM(H38:H40)-SUM(J38:J40)</f>
        <v>221200</v>
      </c>
      <c r="N38" s="4">
        <f>IF(M38&gt;0,+M38,0)</f>
        <v>221200</v>
      </c>
      <c r="P38" s="4">
        <f>IF(M38&lt;0,-M38,0)</f>
        <v>0</v>
      </c>
      <c r="R38" s="4">
        <f>IF($A38=$S$8,+N38,0)</f>
        <v>0</v>
      </c>
      <c r="T38" s="3">
        <f>IF($A38=$S$8,+P38,0)</f>
        <v>0</v>
      </c>
      <c r="V38" s="3">
        <f>IF($A38=$W$8,+N38,0)</f>
        <v>0</v>
      </c>
      <c r="X38" s="3">
        <f>IF($A38=$W$8,+P38,0)</f>
        <v>0</v>
      </c>
    </row>
    <row r="39" spans="1:24">
      <c r="A39" s="106"/>
      <c r="B39" s="100"/>
      <c r="C39" s="100"/>
      <c r="D39" s="100"/>
      <c r="E39" s="106"/>
      <c r="G39" s="131" t="s">
        <v>15</v>
      </c>
      <c r="H39" s="106">
        <v>168200</v>
      </c>
      <c r="I39" s="141"/>
    </row>
    <row r="40" spans="1:24" ht="5" customHeight="1">
      <c r="A40" s="106"/>
      <c r="B40" s="134"/>
      <c r="C40" s="134"/>
      <c r="D40" s="134"/>
      <c r="E40" s="134"/>
      <c r="G40" s="141"/>
      <c r="I40" s="141"/>
      <c r="K40" s="141"/>
    </row>
    <row r="41" spans="1:24">
      <c r="A41" s="129"/>
      <c r="B41" s="100" t="s">
        <v>25</v>
      </c>
      <c r="C41" s="100"/>
      <c r="D41" s="100"/>
      <c r="E41" s="106">
        <v>112000</v>
      </c>
      <c r="G41" s="141"/>
      <c r="I41" s="141"/>
      <c r="K41" s="141"/>
      <c r="M41" s="4">
        <f>C41-E41+SUM(H41:H45)-SUM(J41:J45)</f>
        <v>-280200</v>
      </c>
      <c r="N41" s="4">
        <f>IF(M41&gt;0,+M41,0)</f>
        <v>0</v>
      </c>
      <c r="P41" s="4">
        <f>IF(M41&lt;0,-M41,0)</f>
        <v>280200</v>
      </c>
      <c r="R41" s="4">
        <f>IF($A41=$S$8,+N41,0)</f>
        <v>0</v>
      </c>
      <c r="T41" s="3">
        <f>IF($A41=$S$8,+P41,0)</f>
        <v>0</v>
      </c>
      <c r="V41" s="3">
        <f>IF($A41=$W$8,+N41,0)</f>
        <v>0</v>
      </c>
      <c r="X41" s="3">
        <f>IF($A41=$W$8,+P41,0)</f>
        <v>0</v>
      </c>
    </row>
    <row r="42" spans="1:24">
      <c r="A42" s="106"/>
      <c r="B42" s="100"/>
      <c r="C42" s="100"/>
      <c r="D42" s="100"/>
      <c r="E42" s="106"/>
      <c r="G42" s="141"/>
      <c r="I42" s="141"/>
      <c r="K42" s="141"/>
    </row>
    <row r="43" spans="1:24">
      <c r="A43" s="106"/>
      <c r="B43" s="100"/>
      <c r="C43" s="100"/>
      <c r="D43" s="100"/>
      <c r="E43" s="106"/>
      <c r="G43" s="141"/>
      <c r="I43" s="141"/>
      <c r="J43" s="106">
        <v>168200</v>
      </c>
      <c r="K43" s="131" t="s">
        <v>15</v>
      </c>
    </row>
    <row r="44" spans="1:24">
      <c r="A44" s="106"/>
      <c r="B44" s="100"/>
      <c r="C44" s="100"/>
      <c r="D44" s="100"/>
      <c r="E44" s="106"/>
      <c r="G44" s="141"/>
      <c r="I44" s="141"/>
      <c r="K44" s="141"/>
    </row>
    <row r="45" spans="1:24" ht="5" customHeight="1">
      <c r="A45" s="106"/>
      <c r="B45" s="134"/>
      <c r="C45" s="134"/>
      <c r="D45" s="134"/>
      <c r="E45" s="134"/>
      <c r="G45" s="141"/>
      <c r="I45" s="141"/>
      <c r="K45" s="141"/>
    </row>
    <row r="46" spans="1:24">
      <c r="A46" s="129"/>
      <c r="B46" s="100" t="s">
        <v>26</v>
      </c>
      <c r="C46" s="100"/>
      <c r="D46" s="100"/>
      <c r="E46" s="106">
        <v>50000</v>
      </c>
      <c r="G46" s="141"/>
      <c r="I46" s="141"/>
      <c r="J46" s="106">
        <v>13050</v>
      </c>
      <c r="K46" s="131" t="s">
        <v>15</v>
      </c>
      <c r="M46" s="4">
        <f>C46-E46+SUM(H46:H47)-SUM(J46:J47)</f>
        <v>-63050</v>
      </c>
      <c r="N46" s="4">
        <f>IF(M46&gt;0,+M46,0)</f>
        <v>0</v>
      </c>
      <c r="P46" s="4">
        <f>IF(M46&lt;0,-M46,0)</f>
        <v>63050</v>
      </c>
      <c r="R46" s="4">
        <f>IF($A46=$S$8,+N46,0)</f>
        <v>0</v>
      </c>
      <c r="T46" s="3">
        <f>IF($A46=$S$8,+P46,0)</f>
        <v>0</v>
      </c>
      <c r="V46" s="3">
        <f>IF($A46=$W$8,+N46,0)</f>
        <v>0</v>
      </c>
      <c r="X46" s="3">
        <f>IF($A46=$W$8,+P46,0)</f>
        <v>0</v>
      </c>
    </row>
    <row r="47" spans="1:24" ht="5" customHeight="1">
      <c r="A47" s="129"/>
      <c r="B47" s="134"/>
      <c r="C47" s="134"/>
      <c r="D47" s="134"/>
      <c r="E47" s="134"/>
      <c r="G47" s="141"/>
      <c r="I47" s="141"/>
      <c r="K47" s="141"/>
    </row>
    <row r="48" spans="1:24">
      <c r="A48" s="129"/>
      <c r="B48" s="100" t="s">
        <v>27</v>
      </c>
      <c r="C48" s="100"/>
      <c r="D48" s="100"/>
      <c r="E48" s="106"/>
      <c r="G48" s="141"/>
      <c r="I48" s="141"/>
      <c r="K48" s="141"/>
      <c r="M48" s="4">
        <f>C48-E48+SUM(H48:H50)-SUM(J48:J50)</f>
        <v>0</v>
      </c>
      <c r="N48" s="4">
        <f>IF(M48&gt;0,+M48,0)</f>
        <v>0</v>
      </c>
      <c r="P48" s="4">
        <f>IF(M48&lt;0,-M48,0)</f>
        <v>0</v>
      </c>
      <c r="R48" s="4">
        <f>IF($A48=$S$8,+N48,0)</f>
        <v>0</v>
      </c>
      <c r="T48" s="3">
        <f>IF($A48=$S$8,+P48,0)</f>
        <v>0</v>
      </c>
      <c r="V48" s="3">
        <f>IF($A48=$W$8,+N48,0)</f>
        <v>0</v>
      </c>
      <c r="X48" s="3">
        <f>IF($A48=$W$8,+P48,0)</f>
        <v>0</v>
      </c>
    </row>
    <row r="49" spans="1:24">
      <c r="A49" s="106"/>
      <c r="B49" s="100"/>
      <c r="C49" s="100"/>
      <c r="D49" s="100"/>
      <c r="E49" s="106"/>
      <c r="G49" s="141"/>
      <c r="I49" s="141"/>
      <c r="K49" s="141"/>
    </row>
    <row r="50" spans="1:24" ht="5" customHeight="1">
      <c r="A50" s="106"/>
      <c r="B50" s="134"/>
      <c r="C50" s="134"/>
      <c r="D50" s="134"/>
      <c r="E50" s="134"/>
      <c r="G50" s="141"/>
      <c r="I50" s="141"/>
      <c r="K50" s="141"/>
    </row>
    <row r="51" spans="1:24">
      <c r="A51" s="129"/>
      <c r="B51" s="100" t="s">
        <v>28</v>
      </c>
      <c r="C51" s="100"/>
      <c r="D51" s="100"/>
      <c r="E51" s="106">
        <v>8000</v>
      </c>
      <c r="G51" s="141"/>
      <c r="I51" s="141"/>
      <c r="K51" s="141"/>
      <c r="M51" s="4">
        <f>C51-E51+SUM(H51:H52)-SUM(J51:J52)</f>
        <v>-8000</v>
      </c>
      <c r="N51" s="4">
        <f>IF(M51&gt;0,+M51,0)</f>
        <v>0</v>
      </c>
      <c r="P51" s="4">
        <f>IF(M51&lt;0,-M51,0)</f>
        <v>8000</v>
      </c>
      <c r="R51" s="4">
        <f>IF($A51=$S$8,+N51,0)</f>
        <v>0</v>
      </c>
      <c r="T51" s="3">
        <f>IF($A51=$S$8,+P51,0)</f>
        <v>0</v>
      </c>
      <c r="V51" s="3">
        <f>IF($A51=$W$8,+N51,0)</f>
        <v>0</v>
      </c>
      <c r="X51" s="3">
        <f>IF($A51=$W$8,+P51,0)</f>
        <v>0</v>
      </c>
    </row>
    <row r="52" spans="1:24" ht="5" customHeight="1">
      <c r="A52" s="129"/>
      <c r="B52" s="134"/>
      <c r="C52" s="134"/>
      <c r="D52" s="134"/>
      <c r="E52" s="134"/>
      <c r="G52" s="141"/>
      <c r="I52" s="141"/>
      <c r="K52" s="141"/>
    </row>
    <row r="53" spans="1:24">
      <c r="A53" s="129"/>
      <c r="B53" s="100" t="s">
        <v>29</v>
      </c>
      <c r="C53" s="100"/>
      <c r="D53" s="100"/>
      <c r="E53" s="106">
        <v>1442000</v>
      </c>
      <c r="G53" s="141"/>
      <c r="I53" s="141"/>
      <c r="K53" s="141"/>
      <c r="M53" s="4">
        <f>C53-E53+SUM(H53:H54)-SUM(J53:J54)</f>
        <v>-1442000</v>
      </c>
      <c r="N53" s="4">
        <f>IF(M53&gt;0,+M53,0)</f>
        <v>0</v>
      </c>
      <c r="P53" s="4">
        <f>IF(M53&lt;0,-M53,0)</f>
        <v>1442000</v>
      </c>
      <c r="R53" s="4">
        <f>IF($A53=$S$8,+N53,0)</f>
        <v>0</v>
      </c>
      <c r="T53" s="3">
        <f>IF($A53=$S$8,+P53,0)</f>
        <v>0</v>
      </c>
      <c r="V53" s="3">
        <f>IF($A53=$W$8,+N53,0)</f>
        <v>0</v>
      </c>
      <c r="X53" s="3">
        <f>IF($A53=$W$8,+P53,0)</f>
        <v>0</v>
      </c>
    </row>
    <row r="54" spans="1:24" ht="5" customHeight="1">
      <c r="A54" s="129"/>
      <c r="B54" s="134"/>
      <c r="C54" s="134"/>
      <c r="D54" s="134"/>
      <c r="E54" s="134"/>
      <c r="G54" s="141"/>
      <c r="I54" s="141"/>
      <c r="K54" s="141"/>
    </row>
    <row r="55" spans="1:24">
      <c r="A55" s="106"/>
      <c r="B55" s="100" t="s">
        <v>30</v>
      </c>
      <c r="C55" s="100"/>
      <c r="D55" s="100"/>
      <c r="E55" s="106"/>
      <c r="G55" s="131" t="s">
        <v>15</v>
      </c>
      <c r="H55" s="106">
        <v>2032500</v>
      </c>
      <c r="I55" s="141"/>
      <c r="J55" s="106">
        <v>2032500</v>
      </c>
      <c r="K55" s="131" t="s">
        <v>15</v>
      </c>
      <c r="M55" s="4">
        <f>C55-E55+SUM(H55:H56)-SUM(J55:J56)</f>
        <v>0</v>
      </c>
      <c r="N55" s="4">
        <f>IF(M55&gt;0,+M55,0)</f>
        <v>0</v>
      </c>
      <c r="P55" s="4">
        <f>IF(M55&lt;0,-M55,0)</f>
        <v>0</v>
      </c>
      <c r="R55" s="4">
        <f>IF($A55=$S$8,+N55,0)</f>
        <v>0</v>
      </c>
      <c r="T55" s="3">
        <f>IF($A55=$S$8,+P55,0)</f>
        <v>0</v>
      </c>
      <c r="V55" s="3">
        <f>IF($A55=$W$8,+N55,0)</f>
        <v>0</v>
      </c>
      <c r="X55" s="3">
        <f>IF($A55=$W$8,+P55,0)</f>
        <v>0</v>
      </c>
    </row>
    <row r="56" spans="1:24" ht="5" customHeight="1">
      <c r="A56" s="106"/>
      <c r="B56" s="134"/>
      <c r="C56" s="134"/>
      <c r="D56" s="134"/>
      <c r="E56" s="134"/>
      <c r="G56" s="141"/>
      <c r="I56" s="141"/>
      <c r="K56" s="141"/>
    </row>
    <row r="57" spans="1:24">
      <c r="A57" s="106"/>
      <c r="B57" s="100" t="s">
        <v>31</v>
      </c>
      <c r="C57" s="100"/>
      <c r="D57" s="100"/>
      <c r="E57" s="106"/>
      <c r="G57" s="131" t="s">
        <v>15</v>
      </c>
      <c r="H57" s="106">
        <v>1963000</v>
      </c>
      <c r="I57" s="141"/>
      <c r="J57" s="106">
        <v>1963000</v>
      </c>
      <c r="K57" s="131" t="s">
        <v>15</v>
      </c>
      <c r="M57" s="4">
        <f>C57-E57+SUM(H57:H58)-SUM(J57:J58)</f>
        <v>0</v>
      </c>
      <c r="N57" s="4">
        <f>IF(M57&gt;0,+M57,0)</f>
        <v>0</v>
      </c>
      <c r="P57" s="4">
        <f>IF(M57&lt;0,-M57,0)</f>
        <v>0</v>
      </c>
      <c r="R57" s="4">
        <f>IF($A57=$S$8,+N57,0)</f>
        <v>0</v>
      </c>
      <c r="T57" s="3">
        <f>IF($A57=$S$8,+P57,0)</f>
        <v>0</v>
      </c>
      <c r="V57" s="3">
        <f>IF($A57=$W$8,+N57,0)</f>
        <v>0</v>
      </c>
      <c r="X57" s="3">
        <f>IF($A57=$W$8,+P57,0)</f>
        <v>0</v>
      </c>
    </row>
    <row r="58" spans="1:24" ht="5" customHeight="1">
      <c r="A58" s="106"/>
      <c r="B58" s="134"/>
      <c r="C58" s="134"/>
      <c r="D58" s="134"/>
      <c r="E58" s="134"/>
      <c r="G58" s="141"/>
      <c r="H58" s="106"/>
      <c r="I58" s="141"/>
      <c r="K58" s="141"/>
    </row>
    <row r="59" spans="1:24">
      <c r="A59" s="106"/>
      <c r="B59" s="100" t="s">
        <v>32</v>
      </c>
      <c r="C59" s="100"/>
      <c r="D59" s="100"/>
      <c r="E59" s="106"/>
      <c r="G59" s="131" t="s">
        <v>15</v>
      </c>
      <c r="H59" s="106">
        <v>69500</v>
      </c>
      <c r="I59" s="141"/>
      <c r="J59" s="106">
        <v>69500</v>
      </c>
      <c r="K59" s="131" t="s">
        <v>15</v>
      </c>
      <c r="M59" s="4">
        <f>C59-E59+SUM(H59:H60)-SUM(J59:J60)</f>
        <v>0</v>
      </c>
      <c r="N59" s="4">
        <f>IF(M59&gt;0,+M59,0)</f>
        <v>0</v>
      </c>
      <c r="P59" s="4">
        <f>IF(M59&lt;0,-M59,0)</f>
        <v>0</v>
      </c>
      <c r="R59" s="4">
        <f>IF($A59=$S$8,+N59,0)</f>
        <v>0</v>
      </c>
      <c r="T59" s="3">
        <f>IF($A59=$S$8,+P59,0)</f>
        <v>0</v>
      </c>
      <c r="V59" s="3">
        <f>IF($A59=$W$8,+N59,0)</f>
        <v>0</v>
      </c>
      <c r="X59" s="3">
        <f>IF($A59=$W$8,+P59,0)</f>
        <v>0</v>
      </c>
    </row>
    <row r="60" spans="1:24" ht="5" customHeight="1">
      <c r="A60" s="106"/>
      <c r="B60" s="134"/>
      <c r="C60" s="134"/>
      <c r="D60" s="134"/>
      <c r="E60" s="134"/>
      <c r="G60" s="141"/>
      <c r="I60" s="141"/>
      <c r="K60" s="141"/>
    </row>
    <row r="61" spans="1:24">
      <c r="A61" s="106"/>
      <c r="B61" s="100" t="s">
        <v>33</v>
      </c>
      <c r="C61" s="100"/>
      <c r="D61" s="100"/>
      <c r="E61" s="106"/>
      <c r="G61" s="131" t="s">
        <v>15</v>
      </c>
      <c r="H61" s="106">
        <v>19000</v>
      </c>
      <c r="I61" s="141"/>
      <c r="K61" s="141"/>
      <c r="M61" s="4">
        <f>C61-E61+SUM(H61:H65)-SUM(J61:J65)</f>
        <v>19000</v>
      </c>
      <c r="N61" s="4">
        <f>IF(M61&gt;0,+M61,0)</f>
        <v>19000</v>
      </c>
      <c r="P61" s="4">
        <f>IF(M61&lt;0,-M61,0)</f>
        <v>0</v>
      </c>
      <c r="R61" s="4">
        <f>IF($A61=$S$8,+N61,0)</f>
        <v>0</v>
      </c>
      <c r="T61" s="3">
        <f>IF($A61=$S$8,+P61,0)</f>
        <v>0</v>
      </c>
      <c r="V61" s="3">
        <f>IF($A61=$W$8,+N61,0)</f>
        <v>0</v>
      </c>
      <c r="X61" s="3">
        <f>IF($A61=$W$8,+P61,0)</f>
        <v>0</v>
      </c>
    </row>
    <row r="62" spans="1:24">
      <c r="A62" s="106"/>
      <c r="B62" s="100"/>
      <c r="C62" s="100"/>
      <c r="D62" s="100"/>
      <c r="E62" s="106"/>
      <c r="G62" s="141"/>
      <c r="I62" s="141"/>
      <c r="K62" s="141"/>
    </row>
    <row r="63" spans="1:24">
      <c r="A63" s="106"/>
      <c r="B63" s="100"/>
      <c r="C63" s="100"/>
      <c r="D63" s="100"/>
      <c r="E63" s="106"/>
      <c r="G63" s="141"/>
      <c r="I63" s="141"/>
      <c r="K63" s="141"/>
    </row>
    <row r="64" spans="1:24">
      <c r="A64" s="106"/>
      <c r="B64" s="100"/>
      <c r="C64" s="100"/>
      <c r="D64" s="100"/>
      <c r="E64" s="106"/>
      <c r="G64" s="141"/>
      <c r="I64" s="141"/>
      <c r="K64" s="141"/>
    </row>
    <row r="65" spans="1:24" ht="5" customHeight="1">
      <c r="A65" s="106"/>
      <c r="B65" s="134"/>
      <c r="C65" s="134"/>
      <c r="D65" s="134"/>
      <c r="E65" s="134"/>
      <c r="G65" s="141"/>
      <c r="I65" s="141"/>
      <c r="K65" s="141"/>
    </row>
    <row r="66" spans="1:24">
      <c r="A66" s="106"/>
      <c r="B66" s="100" t="s">
        <v>34</v>
      </c>
      <c r="C66" s="100"/>
      <c r="D66" s="100"/>
      <c r="E66" s="106"/>
      <c r="G66" s="141"/>
      <c r="I66" s="141"/>
      <c r="J66" s="106">
        <v>19000</v>
      </c>
      <c r="K66" s="131" t="s">
        <v>15</v>
      </c>
      <c r="M66" s="4">
        <f>C66-E66+SUM(H66:H70)-SUM(J66:J70)</f>
        <v>-19000</v>
      </c>
      <c r="N66" s="4">
        <f>IF(M66&gt;0,+M66,0)</f>
        <v>0</v>
      </c>
      <c r="P66" s="4">
        <f>IF(M66&lt;0,-M66,0)</f>
        <v>19000</v>
      </c>
      <c r="R66" s="4">
        <f>IF($A66=$S$8,+N66,0)</f>
        <v>0</v>
      </c>
      <c r="T66" s="3">
        <f>IF($A66=$S$8,+P66,0)</f>
        <v>0</v>
      </c>
      <c r="V66" s="3">
        <f>IF($A66=$W$8,+N66,0)</f>
        <v>0</v>
      </c>
      <c r="X66" s="3">
        <f>IF($A66=$W$8,+P66,0)</f>
        <v>0</v>
      </c>
    </row>
    <row r="67" spans="1:24">
      <c r="A67" s="106"/>
      <c r="B67" s="100"/>
      <c r="C67" s="100"/>
      <c r="D67" s="100"/>
      <c r="E67" s="106"/>
      <c r="G67" s="141"/>
      <c r="I67" s="141"/>
      <c r="K67" s="141"/>
    </row>
    <row r="68" spans="1:24">
      <c r="A68" s="106"/>
      <c r="B68" s="100"/>
      <c r="C68" s="100"/>
      <c r="D68" s="100"/>
      <c r="E68" s="106"/>
      <c r="G68" s="141"/>
      <c r="I68" s="141"/>
      <c r="K68" s="141"/>
    </row>
    <row r="69" spans="1:24">
      <c r="A69" s="106"/>
      <c r="B69" s="100"/>
      <c r="C69" s="100"/>
      <c r="D69" s="100"/>
      <c r="E69" s="106"/>
      <c r="G69" s="141"/>
      <c r="I69" s="141"/>
      <c r="K69" s="141"/>
    </row>
    <row r="70" spans="1:24" ht="6" customHeight="1">
      <c r="A70" s="106"/>
      <c r="B70" s="134"/>
      <c r="C70" s="134"/>
      <c r="D70" s="134"/>
      <c r="E70" s="134"/>
      <c r="G70" s="141"/>
      <c r="I70" s="141"/>
      <c r="K70" s="141"/>
    </row>
    <row r="71" spans="1:24">
      <c r="A71" s="129"/>
      <c r="B71" s="100" t="s">
        <v>35</v>
      </c>
      <c r="C71" s="100"/>
      <c r="D71" s="100"/>
      <c r="E71" s="106"/>
      <c r="G71" s="141"/>
      <c r="I71" s="141"/>
      <c r="K71" s="141"/>
      <c r="M71" s="4">
        <f>C71-E71+SUM(H71:H73)-SUM(J71:J73)</f>
        <v>0</v>
      </c>
      <c r="N71" s="4">
        <f>IF(M71&gt;0,+M71,0)</f>
        <v>0</v>
      </c>
      <c r="P71" s="4">
        <f>IF(M71&lt;0,-M71,0)</f>
        <v>0</v>
      </c>
      <c r="R71" s="4">
        <f>IF($A71=$S$8,+N71,0)</f>
        <v>0</v>
      </c>
      <c r="T71" s="3">
        <f>IF($A71=$S$8,+P71,0)</f>
        <v>0</v>
      </c>
      <c r="V71" s="3">
        <f>IF($A71=$W$8,+N71,0)</f>
        <v>0</v>
      </c>
      <c r="X71" s="3">
        <f>IF($A71=$W$8,+P71,0)</f>
        <v>0</v>
      </c>
    </row>
    <row r="72" spans="1:24">
      <c r="A72" s="106"/>
      <c r="B72" s="100"/>
      <c r="C72" s="100"/>
      <c r="D72" s="100"/>
      <c r="E72" s="106"/>
      <c r="G72" s="141"/>
      <c r="I72" s="141"/>
      <c r="K72" s="141"/>
    </row>
    <row r="73" spans="1:24" ht="5" customHeight="1">
      <c r="A73" s="106"/>
      <c r="B73" s="134"/>
      <c r="C73" s="134"/>
      <c r="D73" s="134"/>
      <c r="E73" s="134"/>
      <c r="G73" s="141"/>
      <c r="I73" s="141"/>
      <c r="K73" s="141"/>
    </row>
    <row r="74" spans="1:24">
      <c r="A74" s="129"/>
      <c r="B74" s="100" t="s">
        <v>36</v>
      </c>
      <c r="C74" s="100"/>
      <c r="D74" s="100"/>
      <c r="E74" s="106"/>
      <c r="G74" s="141"/>
      <c r="I74" s="141"/>
      <c r="J74" s="106">
        <v>48480</v>
      </c>
      <c r="K74" s="131" t="s">
        <v>15</v>
      </c>
      <c r="M74" s="4">
        <f>C74-E74+SUM(H74:H75)-SUM(J74:J75)</f>
        <v>-48480</v>
      </c>
      <c r="N74" s="4">
        <f>IF(M74&gt;0,+M74,0)</f>
        <v>0</v>
      </c>
      <c r="P74" s="4">
        <f>IF(M74&lt;0,-M74,0)</f>
        <v>48480</v>
      </c>
      <c r="R74" s="4">
        <f>IF($A74=$S$8,+N74,0)</f>
        <v>0</v>
      </c>
      <c r="T74" s="3">
        <f>IF($A74=$S$8,+P74,0)</f>
        <v>0</v>
      </c>
      <c r="V74" s="3">
        <f>IF($A74=$W$8,+N74,0)</f>
        <v>0</v>
      </c>
      <c r="X74" s="3">
        <f>IF($A74=$W$8,+P74,0)</f>
        <v>0</v>
      </c>
    </row>
    <row r="75" spans="1:24" ht="5" customHeight="1">
      <c r="A75" s="129"/>
      <c r="B75" s="134"/>
      <c r="C75" s="134"/>
      <c r="D75" s="134"/>
      <c r="E75" s="134"/>
      <c r="G75" s="141"/>
      <c r="I75" s="141"/>
      <c r="J75" s="106"/>
      <c r="K75" s="131"/>
    </row>
    <row r="76" spans="1:24">
      <c r="A76" s="129"/>
      <c r="B76" s="100" t="s">
        <v>37</v>
      </c>
      <c r="C76" s="100"/>
      <c r="D76" s="100"/>
      <c r="E76" s="106"/>
      <c r="G76" s="141"/>
      <c r="I76" s="141"/>
      <c r="J76" s="106">
        <v>346200</v>
      </c>
      <c r="K76" s="131" t="s">
        <v>15</v>
      </c>
      <c r="M76" s="4">
        <f>C76-E76+SUM(H76:H77)-SUM(J76:J77)</f>
        <v>-346200</v>
      </c>
      <c r="N76" s="4">
        <f>IF(M76&gt;0,+M76,0)</f>
        <v>0</v>
      </c>
      <c r="P76" s="4">
        <f>IF(M76&lt;0,-M76,0)</f>
        <v>346200</v>
      </c>
      <c r="R76" s="4">
        <f>IF($A76=$S$8,+N76,0)</f>
        <v>0</v>
      </c>
      <c r="T76" s="3">
        <f>IF($A76=$S$8,+P76,0)</f>
        <v>0</v>
      </c>
      <c r="V76" s="3">
        <f>IF($A76=$W$8,+N76,0)</f>
        <v>0</v>
      </c>
      <c r="X76" s="3">
        <f>IF($A76=$W$8,+P76,0)</f>
        <v>0</v>
      </c>
    </row>
    <row r="77" spans="1:24" ht="5" customHeight="1">
      <c r="A77" s="129"/>
      <c r="B77" s="134"/>
      <c r="C77" s="134"/>
      <c r="D77" s="134"/>
      <c r="E77" s="134"/>
      <c r="G77" s="141"/>
      <c r="I77" s="141"/>
      <c r="J77" s="106"/>
      <c r="K77" s="131"/>
    </row>
    <row r="78" spans="1:24">
      <c r="A78" s="129"/>
      <c r="B78" s="100" t="s">
        <v>38</v>
      </c>
      <c r="C78" s="100"/>
      <c r="D78" s="100"/>
      <c r="E78" s="106"/>
      <c r="G78" s="141"/>
      <c r="I78" s="141"/>
      <c r="J78" s="106">
        <v>122460</v>
      </c>
      <c r="K78" s="131" t="s">
        <v>15</v>
      </c>
      <c r="M78" s="4">
        <f>C78-E78+SUM(H78:H79)-SUM(J78:J79)</f>
        <v>-122460</v>
      </c>
      <c r="N78" s="4">
        <f>IF(M78&gt;0,+M78,0)</f>
        <v>0</v>
      </c>
      <c r="P78" s="4">
        <f>IF(M78&lt;0,-M78,0)</f>
        <v>122460</v>
      </c>
      <c r="R78" s="4">
        <f>IF($A78=$S$8,+N78,0)</f>
        <v>0</v>
      </c>
      <c r="T78" s="3">
        <f>IF($A78=$S$8,+P78,0)</f>
        <v>0</v>
      </c>
      <c r="V78" s="3">
        <f>IF($A78=$W$8,+N78,0)</f>
        <v>0</v>
      </c>
      <c r="X78" s="3">
        <f>IF($A78=$W$8,+P78,0)</f>
        <v>0</v>
      </c>
    </row>
    <row r="79" spans="1:24" ht="5" customHeight="1">
      <c r="A79" s="129"/>
      <c r="B79" s="134"/>
      <c r="C79" s="134"/>
      <c r="D79" s="134"/>
      <c r="E79" s="134"/>
      <c r="G79" s="141"/>
      <c r="I79" s="141"/>
      <c r="J79" s="106"/>
      <c r="K79" s="131"/>
    </row>
    <row r="80" spans="1:24">
      <c r="A80" s="129"/>
      <c r="B80" s="100" t="s">
        <v>39</v>
      </c>
      <c r="C80" s="100"/>
      <c r="D80" s="100"/>
      <c r="E80" s="106"/>
      <c r="G80" s="141"/>
      <c r="I80" s="141"/>
      <c r="J80" s="106">
        <v>40000</v>
      </c>
      <c r="K80" s="131" t="s">
        <v>15</v>
      </c>
      <c r="M80" s="4">
        <f>C80-E80+SUM(H80:H83)-SUM(J80:J83)</f>
        <v>-40000</v>
      </c>
      <c r="N80" s="4">
        <f>IF(M80&gt;0,+M80,0)</f>
        <v>0</v>
      </c>
      <c r="P80" s="4">
        <f>IF(M80&lt;0,-M80,0)</f>
        <v>40000</v>
      </c>
      <c r="R80" s="4">
        <f>IF($A80=$S$8,+N80,0)</f>
        <v>0</v>
      </c>
      <c r="T80" s="3">
        <f>IF($A80=$S$8,+P80,0)</f>
        <v>0</v>
      </c>
      <c r="V80" s="3">
        <f>IF($A80=$W$8,+N80,0)</f>
        <v>0</v>
      </c>
      <c r="X80" s="3">
        <f>IF($A80=$W$8,+P80,0)</f>
        <v>0</v>
      </c>
    </row>
    <row r="81" spans="1:24">
      <c r="A81" s="106"/>
      <c r="B81" s="100"/>
      <c r="C81" s="100"/>
      <c r="D81" s="100"/>
      <c r="E81" s="106"/>
      <c r="G81" s="141"/>
      <c r="I81" s="141"/>
      <c r="K81" s="141"/>
    </row>
    <row r="82" spans="1:24">
      <c r="A82" s="106"/>
      <c r="B82" s="100"/>
      <c r="C82" s="100"/>
      <c r="D82" s="100"/>
      <c r="E82" s="106"/>
      <c r="G82" s="141"/>
      <c r="I82" s="141"/>
      <c r="K82" s="141"/>
    </row>
    <row r="83" spans="1:24" ht="5" customHeight="1">
      <c r="A83" s="106"/>
      <c r="B83" s="134"/>
      <c r="C83" s="134"/>
      <c r="D83" s="134"/>
      <c r="E83" s="134"/>
      <c r="G83" s="141"/>
      <c r="I83" s="141"/>
      <c r="K83" s="141"/>
    </row>
    <row r="84" spans="1:24">
      <c r="A84" s="129"/>
      <c r="B84" s="100" t="s">
        <v>40</v>
      </c>
      <c r="C84" s="100"/>
      <c r="D84" s="100"/>
      <c r="E84" s="106"/>
      <c r="G84" s="141"/>
      <c r="I84" s="141"/>
      <c r="K84" s="141"/>
      <c r="M84" s="4">
        <f>C84-E84+SUM(H84:H90)-SUM(J84:J90)</f>
        <v>2700</v>
      </c>
      <c r="N84" s="4">
        <f>IF(M84&gt;0,+M84,0)</f>
        <v>2700</v>
      </c>
      <c r="P84" s="4">
        <f>IF(M84&lt;0,-M84,0)</f>
        <v>0</v>
      </c>
      <c r="R84" s="4">
        <f>IF($A84=$S$8,+N84,0)</f>
        <v>0</v>
      </c>
      <c r="T84" s="3">
        <f>IF($A84=$S$8,+P84,0)</f>
        <v>0</v>
      </c>
      <c r="V84" s="3">
        <f>IF($A84=$W$8,+N84,0)</f>
        <v>0</v>
      </c>
      <c r="X84" s="3">
        <f>IF($A84=$W$8,+P84,0)</f>
        <v>0</v>
      </c>
    </row>
    <row r="85" spans="1:24">
      <c r="A85" s="106"/>
      <c r="B85" s="100"/>
      <c r="C85" s="100"/>
      <c r="D85" s="100"/>
      <c r="E85" s="106"/>
      <c r="G85" s="131" t="s">
        <v>15</v>
      </c>
      <c r="H85" s="106">
        <v>900</v>
      </c>
      <c r="I85" s="141"/>
      <c r="K85" s="141"/>
    </row>
    <row r="86" spans="1:24">
      <c r="A86" s="106"/>
      <c r="B86" s="100"/>
      <c r="C86" s="100"/>
      <c r="D86" s="100"/>
      <c r="E86" s="106"/>
      <c r="G86" s="141"/>
      <c r="I86" s="141"/>
      <c r="K86" s="141"/>
    </row>
    <row r="87" spans="1:24">
      <c r="A87" s="106"/>
      <c r="B87" s="100"/>
      <c r="C87" s="100"/>
      <c r="D87" s="100"/>
      <c r="E87" s="106"/>
      <c r="G87" s="141"/>
      <c r="I87" s="141"/>
      <c r="K87" s="141"/>
    </row>
    <row r="88" spans="1:24">
      <c r="A88" s="106"/>
      <c r="B88" s="100"/>
      <c r="C88" s="100"/>
      <c r="D88" s="100"/>
      <c r="E88" s="106"/>
      <c r="G88" s="131" t="s">
        <v>15</v>
      </c>
      <c r="H88" s="106">
        <v>1800</v>
      </c>
      <c r="I88" s="141"/>
      <c r="K88" s="141"/>
    </row>
    <row r="89" spans="1:24">
      <c r="A89" s="106"/>
      <c r="B89" s="100"/>
      <c r="C89" s="100"/>
      <c r="D89" s="100"/>
      <c r="E89" s="106"/>
      <c r="G89" s="141"/>
      <c r="I89" s="141"/>
      <c r="K89" s="141"/>
    </row>
    <row r="90" spans="1:24" ht="5" customHeight="1">
      <c r="A90" s="106"/>
      <c r="B90" s="134"/>
      <c r="C90" s="134"/>
      <c r="D90" s="134"/>
      <c r="E90" s="134"/>
      <c r="G90" s="141"/>
      <c r="I90" s="141"/>
      <c r="K90" s="141"/>
    </row>
    <row r="91" spans="1:24">
      <c r="A91" s="129"/>
      <c r="B91" s="100" t="s">
        <v>41</v>
      </c>
      <c r="C91" s="100"/>
      <c r="D91" s="100"/>
      <c r="E91" s="106"/>
      <c r="G91" s="141"/>
      <c r="I91" s="141"/>
      <c r="K91" s="141"/>
      <c r="M91" s="4">
        <f>C91-E91+SUM(H91:H98)-SUM(J91:J98)</f>
        <v>19300</v>
      </c>
      <c r="N91" s="4">
        <f>IF(M91&gt;0,+M91,0)</f>
        <v>19300</v>
      </c>
      <c r="P91" s="4">
        <f>IF(M91&lt;0,-M91,0)</f>
        <v>0</v>
      </c>
      <c r="R91" s="4">
        <f>IF($A91=$S$8,+N91,0)</f>
        <v>0</v>
      </c>
      <c r="T91" s="3">
        <f>IF($A91=$S$8,+P91,0)</f>
        <v>0</v>
      </c>
      <c r="V91" s="3">
        <f>IF($A91=$W$8,+N91,0)</f>
        <v>0</v>
      </c>
      <c r="X91" s="3">
        <f>IF($A91=$W$8,+P91,0)</f>
        <v>0</v>
      </c>
    </row>
    <row r="92" spans="1:24">
      <c r="A92" s="106"/>
      <c r="B92" s="100"/>
      <c r="C92" s="100"/>
      <c r="D92" s="100"/>
      <c r="E92" s="106"/>
      <c r="G92" s="131" t="s">
        <v>15</v>
      </c>
      <c r="H92" s="106">
        <v>13500</v>
      </c>
      <c r="I92" s="141"/>
      <c r="K92" s="141"/>
    </row>
    <row r="93" spans="1:24">
      <c r="A93" s="106"/>
      <c r="B93" s="100"/>
      <c r="C93" s="100"/>
      <c r="D93" s="100"/>
      <c r="E93" s="106"/>
      <c r="G93" s="141"/>
      <c r="I93" s="141"/>
      <c r="K93" s="141"/>
    </row>
    <row r="94" spans="1:24">
      <c r="A94" s="106"/>
      <c r="B94" s="100"/>
      <c r="C94" s="100"/>
      <c r="D94" s="100"/>
      <c r="E94" s="106"/>
      <c r="G94" s="141"/>
      <c r="I94" s="141"/>
      <c r="K94" s="141"/>
    </row>
    <row r="95" spans="1:24">
      <c r="A95" s="106"/>
      <c r="B95" s="100"/>
      <c r="C95" s="100"/>
      <c r="D95" s="100"/>
      <c r="E95" s="106"/>
      <c r="G95" s="131" t="s">
        <v>15</v>
      </c>
      <c r="H95" s="106">
        <v>5800</v>
      </c>
      <c r="I95" s="141"/>
      <c r="K95" s="141"/>
    </row>
    <row r="96" spans="1:24">
      <c r="A96" s="106"/>
      <c r="B96" s="100"/>
      <c r="C96" s="100"/>
      <c r="D96" s="100"/>
      <c r="E96" s="106"/>
      <c r="G96" s="141"/>
      <c r="I96" s="141"/>
      <c r="K96" s="141"/>
    </row>
    <row r="97" spans="1:24">
      <c r="A97" s="106"/>
      <c r="B97" s="100"/>
      <c r="C97" s="100"/>
      <c r="D97" s="100"/>
      <c r="E97" s="106"/>
      <c r="G97" s="141"/>
      <c r="I97" s="141"/>
      <c r="K97" s="141"/>
    </row>
    <row r="98" spans="1:24" ht="5" customHeight="1">
      <c r="A98" s="106"/>
      <c r="B98" s="134"/>
      <c r="C98" s="134"/>
      <c r="D98" s="134"/>
      <c r="E98" s="134"/>
      <c r="G98" s="141"/>
      <c r="I98" s="141"/>
      <c r="K98" s="141"/>
    </row>
    <row r="99" spans="1:24">
      <c r="A99" s="129"/>
      <c r="B99" s="100" t="s">
        <v>42</v>
      </c>
      <c r="C99" s="100"/>
      <c r="D99" s="100"/>
      <c r="E99" s="106"/>
      <c r="G99" s="141"/>
      <c r="I99" s="141"/>
      <c r="K99" s="141"/>
      <c r="M99" s="4">
        <f>C99-E99+SUM(H99:H104)-SUM(J99:J104)</f>
        <v>5050</v>
      </c>
      <c r="N99" s="4">
        <f>IF(M99&gt;0,+M99,0)</f>
        <v>5050</v>
      </c>
      <c r="P99" s="4">
        <f>IF(M99&lt;0,-M99,0)</f>
        <v>0</v>
      </c>
      <c r="R99" s="4">
        <f>IF($A99=$S$8,+N99,0)</f>
        <v>0</v>
      </c>
      <c r="T99" s="3">
        <f>IF($A99=$S$8,+P99,0)</f>
        <v>0</v>
      </c>
      <c r="V99" s="3">
        <f>IF($A99=$W$8,+N99,0)</f>
        <v>0</v>
      </c>
      <c r="X99" s="3">
        <f>IF($A99=$W$8,+P99,0)</f>
        <v>0</v>
      </c>
    </row>
    <row r="100" spans="1:24">
      <c r="A100" s="106"/>
      <c r="B100" s="100"/>
      <c r="C100" s="100"/>
      <c r="D100" s="100"/>
      <c r="E100" s="106"/>
      <c r="G100" s="131" t="s">
        <v>15</v>
      </c>
      <c r="H100" s="106">
        <v>3300</v>
      </c>
      <c r="I100" s="141"/>
      <c r="K100" s="141"/>
    </row>
    <row r="101" spans="1:24">
      <c r="A101" s="106"/>
      <c r="B101" s="100"/>
      <c r="C101" s="100"/>
      <c r="D101" s="100"/>
      <c r="E101" s="106"/>
      <c r="G101" s="141"/>
      <c r="I101" s="141"/>
      <c r="K101" s="141"/>
    </row>
    <row r="102" spans="1:24">
      <c r="A102" s="106"/>
      <c r="B102" s="100"/>
      <c r="C102" s="100"/>
      <c r="D102" s="100"/>
      <c r="E102" s="106"/>
      <c r="G102" s="131" t="s">
        <v>15</v>
      </c>
      <c r="H102" s="106">
        <v>1750</v>
      </c>
      <c r="I102" s="141"/>
      <c r="K102" s="141"/>
    </row>
    <row r="103" spans="1:24">
      <c r="A103" s="106"/>
      <c r="B103" s="100"/>
      <c r="C103" s="100"/>
      <c r="D103" s="100"/>
      <c r="E103" s="106"/>
      <c r="G103" s="141"/>
      <c r="I103" s="141"/>
      <c r="K103" s="141"/>
    </row>
    <row r="104" spans="1:24" ht="4.5" customHeight="1">
      <c r="A104" s="106"/>
      <c r="B104" s="134"/>
      <c r="C104" s="134"/>
      <c r="D104" s="134"/>
      <c r="E104" s="134"/>
      <c r="G104" s="141"/>
      <c r="I104" s="141"/>
      <c r="K104" s="141"/>
    </row>
    <row r="105" spans="1:24">
      <c r="A105" s="129"/>
      <c r="B105" s="100" t="s">
        <v>43</v>
      </c>
      <c r="C105" s="100"/>
      <c r="D105" s="100"/>
      <c r="E105" s="106"/>
      <c r="G105" s="141"/>
      <c r="I105" s="141"/>
      <c r="K105" s="141"/>
      <c r="M105" s="4">
        <f>C105-E105+SUM(H105:H110)-SUM(J105:J110)</f>
        <v>4400</v>
      </c>
      <c r="N105" s="4">
        <f>IF(M105&gt;0,+M105,0)</f>
        <v>4400</v>
      </c>
      <c r="P105" s="4">
        <f>IF(M105&lt;0,-M105,0)</f>
        <v>0</v>
      </c>
      <c r="R105" s="4">
        <f>IF($A105=$S$8,+N105,0)</f>
        <v>0</v>
      </c>
      <c r="T105" s="3">
        <f>IF($A105=$S$8,+P105,0)</f>
        <v>0</v>
      </c>
      <c r="V105" s="3">
        <f>IF($A105=$W$8,+N105,0)</f>
        <v>0</v>
      </c>
      <c r="X105" s="3">
        <f>IF($A105=$W$8,+P105,0)</f>
        <v>0</v>
      </c>
    </row>
    <row r="106" spans="1:24">
      <c r="A106" s="106"/>
      <c r="B106" s="100"/>
      <c r="C106" s="100"/>
      <c r="D106" s="100"/>
      <c r="E106" s="106"/>
      <c r="G106" s="131" t="s">
        <v>15</v>
      </c>
      <c r="H106" s="106">
        <v>2900</v>
      </c>
      <c r="I106" s="141"/>
      <c r="K106" s="141"/>
    </row>
    <row r="107" spans="1:24">
      <c r="A107" s="106"/>
      <c r="B107" s="100"/>
      <c r="C107" s="100"/>
      <c r="D107" s="100"/>
      <c r="E107" s="106"/>
      <c r="G107" s="141"/>
      <c r="I107" s="141"/>
      <c r="K107" s="141"/>
    </row>
    <row r="108" spans="1:24">
      <c r="A108" s="106"/>
      <c r="B108" s="100"/>
      <c r="C108" s="100"/>
      <c r="D108" s="100"/>
      <c r="E108" s="106"/>
      <c r="G108" s="131" t="s">
        <v>15</v>
      </c>
      <c r="H108" s="106">
        <v>1500</v>
      </c>
      <c r="I108" s="141"/>
      <c r="K108" s="141"/>
    </row>
    <row r="109" spans="1:24">
      <c r="A109" s="106"/>
      <c r="B109" s="100"/>
      <c r="C109" s="100"/>
      <c r="D109" s="100"/>
      <c r="E109" s="106"/>
      <c r="G109" s="141"/>
      <c r="I109" s="141"/>
      <c r="K109" s="141"/>
    </row>
    <row r="110" spans="1:24" ht="4.5" customHeight="1">
      <c r="A110" s="106"/>
      <c r="B110" s="134"/>
      <c r="C110" s="134"/>
      <c r="D110" s="134"/>
      <c r="E110" s="134"/>
      <c r="G110" s="141"/>
      <c r="I110" s="141"/>
      <c r="K110" s="141"/>
    </row>
    <row r="111" spans="1:24">
      <c r="A111" s="129"/>
      <c r="B111" s="100" t="s">
        <v>44</v>
      </c>
      <c r="C111" s="100"/>
      <c r="D111" s="100"/>
      <c r="E111" s="106"/>
      <c r="G111" s="141"/>
      <c r="I111" s="141"/>
      <c r="K111" s="141"/>
      <c r="M111" s="4">
        <f>C111-E111+SUM(H111:H116)-SUM(J111:J116)</f>
        <v>4100</v>
      </c>
      <c r="N111" s="4">
        <f>IF(M111&gt;0,+M111,0)</f>
        <v>4100</v>
      </c>
      <c r="P111" s="4">
        <f>IF(M111&lt;0,-M111,0)</f>
        <v>0</v>
      </c>
      <c r="R111" s="4">
        <f>IF($A111=$S$8,+N111,0)</f>
        <v>0</v>
      </c>
      <c r="T111" s="3">
        <f>IF($A111=$S$8,+P111,0)</f>
        <v>0</v>
      </c>
      <c r="V111" s="3">
        <f>IF($A111=$W$8,+N111,0)</f>
        <v>0</v>
      </c>
      <c r="X111" s="3">
        <f>IF($A111=$W$8,+P111,0)</f>
        <v>0</v>
      </c>
    </row>
    <row r="112" spans="1:24">
      <c r="A112" s="106"/>
      <c r="B112" s="100"/>
      <c r="C112" s="100"/>
      <c r="D112" s="100"/>
      <c r="E112" s="106"/>
      <c r="G112" s="131" t="s">
        <v>15</v>
      </c>
      <c r="H112" s="106">
        <v>1900</v>
      </c>
      <c r="I112" s="141"/>
      <c r="K112" s="141"/>
    </row>
    <row r="113" spans="1:24">
      <c r="A113" s="106"/>
      <c r="B113" s="100"/>
      <c r="C113" s="100"/>
      <c r="D113" s="100"/>
      <c r="E113" s="106"/>
      <c r="G113" s="141"/>
      <c r="I113" s="141"/>
      <c r="K113" s="141"/>
    </row>
    <row r="114" spans="1:24">
      <c r="A114" s="106"/>
      <c r="B114" s="100"/>
      <c r="C114" s="100"/>
      <c r="D114" s="100"/>
      <c r="E114" s="106"/>
      <c r="G114" s="131" t="s">
        <v>15</v>
      </c>
      <c r="H114" s="106">
        <v>2200</v>
      </c>
      <c r="I114" s="141"/>
      <c r="K114" s="141"/>
    </row>
    <row r="115" spans="1:24">
      <c r="A115" s="106"/>
      <c r="B115" s="100"/>
      <c r="C115" s="100"/>
      <c r="D115" s="100"/>
      <c r="E115" s="106"/>
      <c r="G115" s="141"/>
      <c r="I115" s="141"/>
      <c r="K115" s="141"/>
    </row>
    <row r="116" spans="1:24" ht="4.5" customHeight="1">
      <c r="A116" s="106"/>
      <c r="B116" s="134"/>
      <c r="C116" s="134"/>
      <c r="D116" s="134"/>
      <c r="E116" s="134"/>
      <c r="G116" s="141"/>
      <c r="I116" s="141"/>
      <c r="K116" s="141"/>
    </row>
    <row r="117" spans="1:24">
      <c r="A117" s="129"/>
      <c r="B117" s="100" t="s">
        <v>45</v>
      </c>
      <c r="C117" s="100"/>
      <c r="D117" s="100"/>
      <c r="E117" s="106"/>
      <c r="G117" s="141"/>
      <c r="I117" s="141"/>
      <c r="J117" s="106">
        <v>22500</v>
      </c>
      <c r="K117" s="131" t="s">
        <v>15</v>
      </c>
      <c r="M117" s="4">
        <f>C117-E117+SUM(H117:H118)-SUM(J117:J118)</f>
        <v>-22500</v>
      </c>
      <c r="N117" s="4">
        <f>IF(M117&gt;0,+M117,0)</f>
        <v>0</v>
      </c>
      <c r="P117" s="4">
        <f>IF(M117&lt;0,-M117,0)</f>
        <v>22500</v>
      </c>
      <c r="R117" s="4">
        <f>IF($A117=$S$8,+N117,0)</f>
        <v>0</v>
      </c>
      <c r="T117" s="3">
        <f>IF($A117=$S$8,+P117,0)</f>
        <v>0</v>
      </c>
      <c r="V117" s="3">
        <f>IF($A117=$W$8,+N117,0)</f>
        <v>0</v>
      </c>
      <c r="X117" s="3">
        <f>IF($A117=$W$8,+P117,0)</f>
        <v>0</v>
      </c>
    </row>
    <row r="118" spans="1:24" ht="4.5" customHeight="1">
      <c r="A118" s="129"/>
      <c r="B118" s="134"/>
      <c r="C118" s="134"/>
      <c r="D118" s="134"/>
      <c r="E118" s="134"/>
      <c r="G118" s="141"/>
      <c r="I118" s="141"/>
      <c r="K118" s="141"/>
    </row>
    <row r="119" spans="1:24">
      <c r="A119" s="129"/>
      <c r="B119" s="100" t="s">
        <v>46</v>
      </c>
      <c r="C119" s="100"/>
      <c r="D119" s="100"/>
      <c r="E119" s="106"/>
      <c r="G119" s="141"/>
      <c r="I119" s="141"/>
      <c r="K119" s="141"/>
      <c r="M119" s="4">
        <f>C119-E119+SUM(H119:H121)-SUM(J119:J121)</f>
        <v>0</v>
      </c>
      <c r="N119" s="4">
        <f>IF(M119&gt;0,+M119,0)</f>
        <v>0</v>
      </c>
      <c r="P119" s="4">
        <f>IF(M119&lt;0,-M119,0)</f>
        <v>0</v>
      </c>
      <c r="R119" s="4">
        <f>IF($A119=$S$8,+N119,0)</f>
        <v>0</v>
      </c>
      <c r="T119" s="3">
        <f>IF($A119=$S$8,+P119,0)</f>
        <v>0</v>
      </c>
      <c r="V119" s="3">
        <f>IF($A119=$W$8,+N119,0)</f>
        <v>0</v>
      </c>
      <c r="X119" s="3">
        <f>IF($A119=$W$8,+P119,0)</f>
        <v>0</v>
      </c>
    </row>
    <row r="120" spans="1:24">
      <c r="A120" s="106"/>
      <c r="B120" s="100"/>
      <c r="C120" s="100"/>
      <c r="D120" s="100"/>
      <c r="E120" s="106"/>
      <c r="G120" s="141"/>
      <c r="I120" s="141"/>
      <c r="K120" s="141"/>
    </row>
    <row r="121" spans="1:24" ht="4.5" customHeight="1">
      <c r="A121" s="106"/>
      <c r="B121" s="134"/>
      <c r="C121" s="134"/>
      <c r="D121" s="134"/>
      <c r="E121" s="134"/>
      <c r="G121" s="141"/>
      <c r="I121" s="141"/>
      <c r="K121" s="141"/>
    </row>
    <row r="122" spans="1:24">
      <c r="A122" s="129"/>
      <c r="B122" s="100" t="s">
        <v>47</v>
      </c>
      <c r="C122" s="100"/>
      <c r="D122" s="100"/>
      <c r="E122" s="106"/>
      <c r="G122" s="141"/>
      <c r="I122" s="141"/>
      <c r="K122" s="141"/>
      <c r="M122" s="4">
        <f>C122-E122+SUM(H122:H123)-SUM(J122:J123)</f>
        <v>0</v>
      </c>
      <c r="N122" s="4">
        <f>IF(M122&gt;0,+M122,0)</f>
        <v>0</v>
      </c>
      <c r="P122" s="4">
        <f>IF(M122&lt;0,-M122,0)</f>
        <v>0</v>
      </c>
      <c r="R122" s="4">
        <f>IF($A122=$S$8,+N122,0)</f>
        <v>0</v>
      </c>
      <c r="T122" s="3">
        <f>IF($A122=$S$8,+P122,0)</f>
        <v>0</v>
      </c>
      <c r="V122" s="3">
        <f>IF($A122=$W$8,+N122,0)</f>
        <v>0</v>
      </c>
      <c r="X122" s="3">
        <f>IF($A122=$W$8,+P122,0)</f>
        <v>0</v>
      </c>
    </row>
    <row r="123" spans="1:24" ht="4.5" customHeight="1">
      <c r="A123" s="129"/>
      <c r="B123" s="134"/>
      <c r="C123" s="134"/>
      <c r="D123" s="134"/>
      <c r="E123" s="134"/>
      <c r="G123" s="141"/>
      <c r="I123" s="141"/>
      <c r="K123" s="141"/>
    </row>
    <row r="124" spans="1:24">
      <c r="A124" s="129"/>
      <c r="B124" s="100" t="s">
        <v>48</v>
      </c>
      <c r="C124" s="100"/>
      <c r="D124" s="100"/>
      <c r="E124" s="106"/>
      <c r="G124" s="141"/>
      <c r="I124" s="141"/>
      <c r="K124" s="141"/>
      <c r="M124" s="4">
        <f>C124-E124+SUM(H124:H125)-SUM(J124:J125)</f>
        <v>0</v>
      </c>
      <c r="N124" s="4">
        <f>IF(M124&gt;0,+M124,0)</f>
        <v>0</v>
      </c>
      <c r="P124" s="4">
        <f>IF(M124&lt;0,-M124,0)</f>
        <v>0</v>
      </c>
      <c r="R124" s="4">
        <f>IF($A124=$S$8,+N124,0)</f>
        <v>0</v>
      </c>
      <c r="T124" s="3">
        <f>IF($A124=$S$8,+P124,0)</f>
        <v>0</v>
      </c>
      <c r="V124" s="3">
        <f>IF($A124=$W$8,+N124,0)</f>
        <v>0</v>
      </c>
      <c r="X124" s="3">
        <f>IF($A124=$W$8,+P124,0)</f>
        <v>0</v>
      </c>
    </row>
    <row r="125" spans="1:24" ht="4.5" customHeight="1">
      <c r="A125" s="129"/>
      <c r="B125" s="134"/>
      <c r="C125" s="134"/>
      <c r="D125" s="134"/>
      <c r="E125" s="134"/>
      <c r="G125" s="141"/>
      <c r="I125" s="141"/>
      <c r="K125" s="141"/>
    </row>
    <row r="126" spans="1:24">
      <c r="A126" s="129"/>
      <c r="B126" s="100" t="s">
        <v>49</v>
      </c>
      <c r="C126" s="100"/>
      <c r="D126" s="100"/>
      <c r="E126" s="106"/>
      <c r="G126" s="141"/>
      <c r="I126" s="141"/>
      <c r="K126" s="141"/>
      <c r="M126" s="4">
        <f>C126-E126+SUM(H126:H127)-SUM(J126:J127)</f>
        <v>0</v>
      </c>
      <c r="N126" s="4">
        <f>IF(M126&gt;0,+M126,0)</f>
        <v>0</v>
      </c>
      <c r="P126" s="4">
        <f>IF(M126&lt;0,-M126,0)</f>
        <v>0</v>
      </c>
      <c r="R126" s="4">
        <f>IF($A126=$S$8,+N126,0)</f>
        <v>0</v>
      </c>
      <c r="T126" s="3">
        <f>IF($A126=$S$8,+P126,0)</f>
        <v>0</v>
      </c>
      <c r="V126" s="3">
        <f>IF($A126=$W$8,+N126,0)</f>
        <v>0</v>
      </c>
      <c r="X126" s="3">
        <f>IF($A126=$W$8,+P126,0)</f>
        <v>0</v>
      </c>
    </row>
    <row r="127" spans="1:24" ht="4.5" customHeight="1">
      <c r="A127" s="129"/>
      <c r="B127" s="134"/>
      <c r="C127" s="134"/>
      <c r="D127" s="134"/>
      <c r="E127" s="134"/>
      <c r="G127" s="141"/>
      <c r="I127" s="141"/>
      <c r="K127" s="141"/>
    </row>
    <row r="128" spans="1:24">
      <c r="A128" s="106"/>
      <c r="B128" s="100"/>
      <c r="C128" s="100"/>
      <c r="D128" s="100"/>
      <c r="E128" s="106"/>
      <c r="G128" s="141"/>
      <c r="I128" s="141"/>
      <c r="K128" s="141"/>
      <c r="M128" s="4">
        <f>C128-E128+SUM(H128:H129)-SUM(J128:J129)</f>
        <v>0</v>
      </c>
      <c r="N128" s="4">
        <f>IF(M128&gt;0,+M128,0)</f>
        <v>0</v>
      </c>
      <c r="P128" s="4">
        <f>IF(M128&lt;0,-M128,0)</f>
        <v>0</v>
      </c>
      <c r="R128" s="4">
        <f>IF($A128=$S$8,+N128,0)</f>
        <v>0</v>
      </c>
      <c r="T128" s="3">
        <f>IF($A128=$S$8,+P128,0)</f>
        <v>0</v>
      </c>
      <c r="V128" s="3">
        <f>IF($A128=$W$8,+N128,0)</f>
        <v>0</v>
      </c>
      <c r="X128" s="3">
        <f>IF($A128=$W$8,+P128,0)</f>
        <v>0</v>
      </c>
    </row>
    <row r="129" spans="1:24" ht="4.5" customHeight="1">
      <c r="A129" s="106"/>
      <c r="B129" s="134"/>
      <c r="C129" s="134"/>
      <c r="D129" s="134"/>
      <c r="E129" s="134"/>
      <c r="G129" s="141"/>
      <c r="I129" s="141"/>
      <c r="K129" s="141"/>
    </row>
    <row r="130" spans="1:24">
      <c r="A130" s="106"/>
      <c r="B130" s="100"/>
      <c r="C130" s="100"/>
      <c r="D130" s="100"/>
      <c r="E130" s="106"/>
      <c r="G130" s="141"/>
      <c r="I130" s="141"/>
      <c r="K130" s="141"/>
      <c r="M130" s="4">
        <f>C130-E130+SUM(H130:H131)-SUM(J130:J131)</f>
        <v>0</v>
      </c>
      <c r="N130" s="4">
        <f>IF(M130&gt;0,+M130,0)</f>
        <v>0</v>
      </c>
      <c r="P130" s="4">
        <f>IF(M130&lt;0,-M130,0)</f>
        <v>0</v>
      </c>
      <c r="R130" s="4">
        <f>IF($A130=$S$8,+N130,0)</f>
        <v>0</v>
      </c>
      <c r="T130" s="3">
        <f>IF($A130=$S$8,+P130,0)</f>
        <v>0</v>
      </c>
      <c r="V130" s="3">
        <f>IF($A130=$W$8,+N130,0)</f>
        <v>0</v>
      </c>
      <c r="X130" s="3">
        <f>IF($A130=$W$8,+P130,0)</f>
        <v>0</v>
      </c>
    </row>
    <row r="131" spans="1:24" ht="4.5" customHeight="1">
      <c r="A131" s="129"/>
      <c r="B131" s="134"/>
      <c r="C131" s="134"/>
      <c r="D131" s="134"/>
      <c r="E131" s="134"/>
      <c r="G131" s="141"/>
      <c r="I131" s="141"/>
      <c r="K131" s="141"/>
    </row>
    <row r="132" spans="1:24">
      <c r="A132" s="129"/>
      <c r="B132" s="100" t="s">
        <v>50</v>
      </c>
      <c r="C132" s="100"/>
      <c r="D132" s="100"/>
      <c r="E132" s="106"/>
      <c r="G132" s="141"/>
      <c r="I132" s="141"/>
      <c r="K132" s="141"/>
      <c r="M132" s="4">
        <f>C132-E132+SUM(H132:H133)-SUM(J132:J133)</f>
        <v>0</v>
      </c>
      <c r="N132" s="4">
        <f>IF(M132&gt;0,+M132,0)</f>
        <v>0</v>
      </c>
      <c r="P132" s="4">
        <f>IF(M132&lt;0,-M132,0)</f>
        <v>0</v>
      </c>
      <c r="R132" s="4">
        <f>IF($A132=$S$8,+N132,0)</f>
        <v>0</v>
      </c>
      <c r="T132" s="3">
        <f>IF($A132=$S$8,+P132,0)</f>
        <v>0</v>
      </c>
      <c r="V132" s="3">
        <f>IF($A132=$W$8,+N132,0)</f>
        <v>0</v>
      </c>
      <c r="X132" s="3">
        <f>IF($A132=$W$8,+P132,0)</f>
        <v>0</v>
      </c>
    </row>
    <row r="133" spans="1:24" ht="4.5" customHeight="1">
      <c r="A133" s="129"/>
      <c r="B133" s="134"/>
      <c r="C133" s="134"/>
      <c r="D133" s="134"/>
      <c r="E133" s="134"/>
      <c r="G133" s="141"/>
      <c r="I133" s="141"/>
      <c r="K133" s="141"/>
    </row>
    <row r="134" spans="1:24">
      <c r="A134" s="129"/>
      <c r="B134" s="100" t="s">
        <v>51</v>
      </c>
      <c r="C134" s="100"/>
      <c r="D134" s="100"/>
      <c r="E134" s="106"/>
      <c r="G134" s="141"/>
      <c r="I134" s="141"/>
      <c r="K134" s="141"/>
      <c r="M134" s="4">
        <f>C134-E134+SUM(H134:H136)-SUM(J134:J136)</f>
        <v>0</v>
      </c>
      <c r="N134" s="4">
        <f>IF(M134&gt;0,+M134,0)</f>
        <v>0</v>
      </c>
      <c r="P134" s="4">
        <f>IF(M134&lt;0,-M134,0)</f>
        <v>0</v>
      </c>
      <c r="R134" s="4">
        <f>IF($A134=$S$8,+N134,0)</f>
        <v>0</v>
      </c>
      <c r="T134" s="3">
        <f>IF($A134=$S$8,+P134,0)</f>
        <v>0</v>
      </c>
      <c r="V134" s="3">
        <f>IF($A134=$W$8,+N134,0)</f>
        <v>0</v>
      </c>
      <c r="X134" s="3">
        <f>IF($A134=$W$8,+P134,0)</f>
        <v>0</v>
      </c>
    </row>
    <row r="135" spans="1:24">
      <c r="A135" s="106"/>
      <c r="B135" s="100"/>
      <c r="C135" s="100"/>
      <c r="D135" s="100"/>
      <c r="E135" s="106"/>
      <c r="G135" s="141"/>
      <c r="I135" s="141"/>
      <c r="K135" s="141"/>
    </row>
    <row r="136" spans="1:24" ht="4.5" customHeight="1">
      <c r="A136" s="106"/>
      <c r="B136" s="134"/>
      <c r="C136" s="134"/>
      <c r="D136" s="134"/>
      <c r="E136" s="134"/>
      <c r="G136" s="141"/>
      <c r="I136" s="141"/>
      <c r="K136" s="141"/>
    </row>
    <row r="137" spans="1:24">
      <c r="A137" s="129"/>
      <c r="B137" s="100" t="s">
        <v>52</v>
      </c>
      <c r="C137" s="100"/>
      <c r="D137" s="100"/>
      <c r="E137" s="106"/>
      <c r="G137" s="141"/>
      <c r="I137" s="141"/>
      <c r="K137" s="141"/>
      <c r="M137" s="4">
        <f>C137-E137+SUM(H137:H138)-SUM(J137:J138)</f>
        <v>0</v>
      </c>
      <c r="N137" s="4">
        <f>IF(M137&gt;0,+M137,0)</f>
        <v>0</v>
      </c>
      <c r="P137" s="4">
        <f>IF(M137&lt;0,-M137,0)</f>
        <v>0</v>
      </c>
      <c r="R137" s="4">
        <f>IF($A137=$S$8,+N137,0)</f>
        <v>0</v>
      </c>
      <c r="T137" s="3">
        <f>IF($A137=$S$8,+P137,0)</f>
        <v>0</v>
      </c>
      <c r="V137" s="3">
        <f>IF($A137=$W$8,+N137,0)</f>
        <v>0</v>
      </c>
      <c r="X137" s="3">
        <f>IF($A137=$W$8,+P137,0)</f>
        <v>0</v>
      </c>
    </row>
    <row r="138" spans="1:24" ht="4.5" customHeight="1">
      <c r="A138" s="129"/>
      <c r="B138" s="134"/>
      <c r="C138" s="134"/>
      <c r="D138" s="134"/>
      <c r="E138" s="134"/>
      <c r="G138" s="141"/>
      <c r="I138" s="141"/>
      <c r="K138" s="141"/>
    </row>
    <row r="139" spans="1:24">
      <c r="A139" s="129"/>
      <c r="B139" s="100" t="s">
        <v>53</v>
      </c>
      <c r="C139" s="100"/>
      <c r="D139" s="100"/>
      <c r="E139" s="106"/>
      <c r="G139" s="141"/>
      <c r="I139" s="141"/>
      <c r="K139" s="141"/>
      <c r="M139" s="4">
        <f>C139-E139+SUM(H139:H140)-SUM(J139:J140)</f>
        <v>0</v>
      </c>
      <c r="N139" s="4">
        <f>IF(M139&gt;0,+M139,0)</f>
        <v>0</v>
      </c>
      <c r="P139" s="4">
        <f>IF(M139&lt;0,-M139,0)</f>
        <v>0</v>
      </c>
      <c r="R139" s="4">
        <f>IF($A139=$S$8,+N139,0)</f>
        <v>0</v>
      </c>
      <c r="T139" s="3">
        <f>IF($A139=$S$8,+P139,0)</f>
        <v>0</v>
      </c>
      <c r="V139" s="3">
        <f>IF($A139=$W$8,+N139,0)</f>
        <v>0</v>
      </c>
      <c r="X139" s="3">
        <f>IF($A139=$W$8,+P139,0)</f>
        <v>0</v>
      </c>
    </row>
    <row r="140" spans="1:24" ht="4.5" customHeight="1">
      <c r="A140" s="129"/>
      <c r="B140" s="134"/>
      <c r="C140" s="134"/>
      <c r="D140" s="134"/>
      <c r="E140" s="134"/>
      <c r="G140" s="141"/>
      <c r="I140" s="141"/>
      <c r="K140" s="141"/>
    </row>
    <row r="141" spans="1:24">
      <c r="A141" s="129"/>
      <c r="B141" s="100" t="s">
        <v>54</v>
      </c>
      <c r="C141" s="100"/>
      <c r="D141" s="100"/>
      <c r="E141" s="106"/>
      <c r="G141" s="141"/>
      <c r="I141" s="141"/>
      <c r="K141" s="141"/>
      <c r="M141" s="4">
        <f>C141-E141+SUM(H141:H142)-SUM(J141:J142)</f>
        <v>0</v>
      </c>
      <c r="N141" s="4">
        <f>IF(M141&gt;0,+M141,0)</f>
        <v>0</v>
      </c>
      <c r="P141" s="4">
        <f>IF(M141&lt;0,-M141,0)</f>
        <v>0</v>
      </c>
      <c r="R141" s="4">
        <f>IF($A141=$S$8,+N141,0)</f>
        <v>0</v>
      </c>
      <c r="T141" s="3">
        <f>IF($A141=$S$8,+P141,0)</f>
        <v>0</v>
      </c>
      <c r="V141" s="3">
        <f>IF($A141=$W$8,+N141,0)</f>
        <v>0</v>
      </c>
      <c r="X141" s="3">
        <f>IF($A141=$W$8,+P141,0)</f>
        <v>0</v>
      </c>
    </row>
    <row r="142" spans="1:24" ht="4.5" customHeight="1">
      <c r="A142" s="100"/>
      <c r="B142" s="134"/>
      <c r="C142" s="134"/>
      <c r="D142" s="134"/>
      <c r="E142" s="134"/>
      <c r="G142" s="141"/>
      <c r="I142" s="141"/>
      <c r="K142" s="141"/>
    </row>
    <row r="143" spans="1:24">
      <c r="A143" s="100"/>
      <c r="B143" s="100"/>
      <c r="C143" s="100"/>
      <c r="D143" s="100"/>
      <c r="E143" s="106"/>
      <c r="G143" s="141"/>
      <c r="I143" s="141"/>
      <c r="K143" s="141"/>
      <c r="M143" s="4">
        <f>C143-E143+SUM(H143:H144)-SUM(J143:J144)</f>
        <v>0</v>
      </c>
      <c r="N143" s="4">
        <f>IF(M143&gt;0,+M143,0)</f>
        <v>0</v>
      </c>
      <c r="P143" s="4">
        <f>IF(M143&lt;0,-M143,0)</f>
        <v>0</v>
      </c>
      <c r="R143" s="4">
        <f>IF($A143=$S$8,+N143,0)</f>
        <v>0</v>
      </c>
      <c r="T143" s="3">
        <f>IF($A143=$S$8,+P143,0)</f>
        <v>0</v>
      </c>
      <c r="V143" s="3">
        <f>IF($A143=$W$8,+N143,0)</f>
        <v>0</v>
      </c>
      <c r="X143" s="3">
        <f>IF($A143=$W$8,+P143,0)</f>
        <v>0</v>
      </c>
    </row>
    <row r="144" spans="1:24" ht="5" customHeight="1" thickBot="1">
      <c r="B144" s="134"/>
      <c r="C144" s="134"/>
      <c r="D144" s="134"/>
      <c r="E144" s="134"/>
      <c r="G144" s="141"/>
    </row>
    <row r="145" spans="2:24" ht="14" thickBot="1">
      <c r="B145" s="100"/>
      <c r="C145" s="135">
        <f>SUM(C9:C144)</f>
        <v>1649500</v>
      </c>
      <c r="D145" s="100"/>
      <c r="E145" s="136">
        <f>SUM(E9:E144)</f>
        <v>1649500</v>
      </c>
      <c r="H145" s="13">
        <f>SUM(H9:H144)</f>
        <v>5289890</v>
      </c>
      <c r="J145" s="13">
        <f>SUM(J9:J144)</f>
        <v>5289890</v>
      </c>
      <c r="N145" s="13">
        <f>SUM(N9:N144)</f>
        <v>2564490</v>
      </c>
      <c r="P145" s="13">
        <f>SUM(P9:P144)</f>
        <v>2564490</v>
      </c>
      <c r="R145" s="13">
        <f>SUM(R9:R144)</f>
        <v>0</v>
      </c>
      <c r="S145" s="4"/>
      <c r="T145" s="13">
        <f>SUM(T9:T144)</f>
        <v>0</v>
      </c>
      <c r="V145" s="13">
        <f>SUM(V9:V144)</f>
        <v>0</v>
      </c>
      <c r="W145" s="4"/>
      <c r="X145" s="13">
        <f>SUM(X9:X144)</f>
        <v>0</v>
      </c>
    </row>
    <row r="146" spans="2:24" ht="15" thickTop="1" thickBot="1">
      <c r="B146" s="100" t="s">
        <v>55</v>
      </c>
      <c r="C146" s="137"/>
      <c r="D146" s="100"/>
      <c r="E146" s="138"/>
      <c r="H146" s="15"/>
      <c r="J146" s="15"/>
      <c r="N146" s="15"/>
      <c r="P146" s="15"/>
      <c r="R146" s="4">
        <f>IF(R145&gt;T145,0,+T145-R145)</f>
        <v>0</v>
      </c>
      <c r="T146" s="3">
        <f>IF(T145&gt;R145,0,R145-T145)</f>
        <v>0</v>
      </c>
      <c r="V146" s="3">
        <f>T146</f>
        <v>0</v>
      </c>
      <c r="X146" s="3">
        <f>R146</f>
        <v>0</v>
      </c>
    </row>
    <row r="147" spans="2:24" ht="14" thickBot="1">
      <c r="B147" s="100"/>
      <c r="C147" s="100"/>
      <c r="D147" s="100"/>
      <c r="E147" s="106"/>
      <c r="R147" s="13">
        <f>R146+R145</f>
        <v>0</v>
      </c>
      <c r="T147" s="12">
        <f>T146+T145</f>
        <v>0</v>
      </c>
      <c r="V147" s="12">
        <f>V146+V145</f>
        <v>0</v>
      </c>
      <c r="X147" s="12">
        <f>X146+X145</f>
        <v>0</v>
      </c>
    </row>
    <row r="148" spans="2:24" ht="14" thickTop="1">
      <c r="R148" s="15"/>
      <c r="T148" s="14"/>
      <c r="V148" s="14"/>
      <c r="X148" s="14"/>
    </row>
  </sheetData>
  <mergeCells count="4">
    <mergeCell ref="F7:L7"/>
    <mergeCell ref="A1:X1"/>
    <mergeCell ref="A2:X2"/>
    <mergeCell ref="A3:X3"/>
  </mergeCells>
  <printOptions horizontalCentered="1"/>
  <pageMargins left="0.25" right="0.25" top="0.25" bottom="0.25" header="0" footer="0"/>
  <pageSetup scale="65" fitToHeight="2" orientation="landscape"/>
  <headerFooter alignWithMargins="0"/>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F23"/>
  <sheetViews>
    <sheetView topLeftCell="B1" workbookViewId="0">
      <selection activeCell="A23" sqref="A23"/>
    </sheetView>
  </sheetViews>
  <sheetFormatPr baseColWidth="10" defaultColWidth="8.5703125" defaultRowHeight="13" x14ac:dyDescent="0"/>
  <cols>
    <col min="1" max="1" width="2.5703125" style="24" customWidth="1"/>
    <col min="2" max="2" width="35.5703125" style="24" customWidth="1"/>
    <col min="3" max="3" width="9.5703125" style="24" bestFit="1" customWidth="1"/>
    <col min="4" max="4" width="0.85546875" style="24" customWidth="1"/>
    <col min="5" max="5" width="9.5703125" style="24" bestFit="1" customWidth="1"/>
    <col min="6" max="16384" width="8.5703125" style="24"/>
  </cols>
  <sheetData>
    <row r="1" spans="1:6">
      <c r="A1" s="153" t="s">
        <v>56</v>
      </c>
      <c r="B1" s="153"/>
      <c r="C1" s="153"/>
      <c r="D1" s="153"/>
      <c r="E1" s="153"/>
    </row>
    <row r="2" spans="1:6">
      <c r="A2" s="153" t="s">
        <v>140</v>
      </c>
      <c r="B2" s="153"/>
      <c r="C2" s="153"/>
      <c r="D2" s="153"/>
      <c r="E2" s="153"/>
    </row>
    <row r="3" spans="1:6">
      <c r="A3" s="153" t="s">
        <v>9</v>
      </c>
      <c r="B3" s="153"/>
      <c r="C3" s="153"/>
      <c r="D3" s="153"/>
      <c r="E3" s="153"/>
    </row>
    <row r="4" spans="1:6">
      <c r="A4" s="153" t="s">
        <v>89</v>
      </c>
      <c r="B4" s="153"/>
      <c r="C4" s="153"/>
      <c r="D4" s="153"/>
      <c r="E4" s="153"/>
    </row>
    <row r="5" spans="1:6">
      <c r="A5" s="25"/>
      <c r="B5" s="25"/>
      <c r="C5" s="25"/>
      <c r="D5" s="25"/>
      <c r="E5" s="25"/>
    </row>
    <row r="6" spans="1:6">
      <c r="A6" s="153" t="s">
        <v>90</v>
      </c>
      <c r="B6" s="153"/>
      <c r="C6" s="153"/>
      <c r="D6" s="153"/>
      <c r="E6" s="153"/>
      <c r="F6" s="34"/>
    </row>
    <row r="7" spans="1:6" ht="14" thickBot="1">
      <c r="A7" s="32" t="s">
        <v>91</v>
      </c>
      <c r="B7" s="32"/>
      <c r="C7" s="32"/>
      <c r="D7" s="32"/>
      <c r="E7" s="102">
        <f>+'P&amp;R CPF'!V9</f>
        <v>0</v>
      </c>
      <c r="F7" s="34"/>
    </row>
    <row r="8" spans="1:6" ht="14" thickTop="1">
      <c r="A8" s="32"/>
      <c r="B8" s="32"/>
      <c r="C8" s="32"/>
      <c r="D8" s="32"/>
      <c r="E8" s="32"/>
      <c r="F8" s="34"/>
    </row>
    <row r="9" spans="1:6">
      <c r="A9" s="153" t="s">
        <v>129</v>
      </c>
      <c r="B9" s="153"/>
      <c r="C9" s="153"/>
      <c r="D9" s="153"/>
      <c r="E9" s="153"/>
      <c r="F9" s="34"/>
    </row>
    <row r="10" spans="1:6">
      <c r="A10" s="32" t="s">
        <v>148</v>
      </c>
      <c r="B10" s="32"/>
      <c r="C10" s="32"/>
      <c r="D10" s="32"/>
      <c r="E10" s="49">
        <f>+'P&amp;R CPF'!X36</f>
        <v>0</v>
      </c>
      <c r="F10" s="34"/>
    </row>
    <row r="11" spans="1:6">
      <c r="A11" s="32" t="s">
        <v>29</v>
      </c>
      <c r="B11" s="32"/>
      <c r="C11" s="43"/>
      <c r="D11" s="43"/>
      <c r="E11" s="43"/>
      <c r="F11" s="34"/>
    </row>
    <row r="12" spans="1:6">
      <c r="B12" s="33"/>
      <c r="C12" s="44">
        <f>+E13-C13</f>
        <v>-200000</v>
      </c>
      <c r="D12" s="43"/>
      <c r="E12" s="43"/>
      <c r="F12" s="34"/>
    </row>
    <row r="13" spans="1:6">
      <c r="B13" s="32"/>
      <c r="C13" s="43">
        <v>200000</v>
      </c>
      <c r="D13" s="43"/>
      <c r="E13" s="43">
        <f>+E7-E10</f>
        <v>0</v>
      </c>
      <c r="F13" s="34"/>
    </row>
    <row r="14" spans="1:6" ht="14" thickBot="1">
      <c r="A14" s="32" t="s">
        <v>107</v>
      </c>
      <c r="B14" s="32"/>
      <c r="C14" s="42"/>
      <c r="D14" s="32"/>
      <c r="E14" s="79">
        <f>+E13+E10</f>
        <v>0</v>
      </c>
      <c r="F14" s="34"/>
    </row>
    <row r="15" spans="1:6" ht="14" thickTop="1">
      <c r="A15" s="32"/>
      <c r="B15" s="32"/>
      <c r="C15" s="32"/>
      <c r="D15" s="32"/>
      <c r="E15" s="32"/>
      <c r="F15" s="34"/>
    </row>
    <row r="16" spans="1:6">
      <c r="A16" s="33" t="s">
        <v>149</v>
      </c>
      <c r="B16" s="33"/>
      <c r="C16" s="34"/>
      <c r="D16" s="34"/>
      <c r="E16" s="34"/>
      <c r="F16" s="34"/>
    </row>
    <row r="17" spans="1:6">
      <c r="A17" s="33" t="s">
        <v>150</v>
      </c>
      <c r="B17" s="33"/>
      <c r="C17" s="34"/>
      <c r="D17" s="34"/>
      <c r="E17" s="34"/>
      <c r="F17" s="34"/>
    </row>
    <row r="18" spans="1:6">
      <c r="A18" s="33" t="s">
        <v>151</v>
      </c>
      <c r="B18" s="33"/>
      <c r="C18" s="34"/>
      <c r="D18" s="34"/>
      <c r="E18" s="34"/>
      <c r="F18" s="34"/>
    </row>
    <row r="19" spans="1:6">
      <c r="A19" s="34"/>
      <c r="B19" s="34"/>
      <c r="C19" s="34"/>
      <c r="D19" s="34"/>
      <c r="E19" s="34"/>
      <c r="F19" s="34"/>
    </row>
    <row r="20" spans="1:6">
      <c r="A20" s="34" t="s">
        <v>152</v>
      </c>
      <c r="B20" s="34"/>
      <c r="C20" s="34"/>
      <c r="D20" s="34"/>
      <c r="E20" s="34"/>
      <c r="F20" s="34"/>
    </row>
    <row r="21" spans="1:6" ht="14">
      <c r="A21" s="34" t="s">
        <v>153</v>
      </c>
      <c r="B21" s="34"/>
      <c r="C21" s="34"/>
      <c r="D21" s="34"/>
      <c r="E21" s="34"/>
      <c r="F21" s="34"/>
    </row>
    <row r="22" spans="1:6">
      <c r="A22" s="34" t="s">
        <v>154</v>
      </c>
      <c r="B22" s="34"/>
      <c r="C22" s="34"/>
      <c r="D22" s="34"/>
      <c r="E22" s="34"/>
      <c r="F22" s="34"/>
    </row>
    <row r="23" spans="1:6">
      <c r="A23" s="34" t="s">
        <v>155</v>
      </c>
      <c r="B23" s="34"/>
      <c r="C23" s="34"/>
      <c r="D23" s="34"/>
      <c r="E23" s="34"/>
      <c r="F23" s="34"/>
    </row>
  </sheetData>
  <mergeCells count="6">
    <mergeCell ref="A9:E9"/>
    <mergeCell ref="A1:E1"/>
    <mergeCell ref="A2:E2"/>
    <mergeCell ref="A3:E3"/>
    <mergeCell ref="A4:E4"/>
    <mergeCell ref="A6:E6"/>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X52"/>
  <sheetViews>
    <sheetView workbookViewId="0">
      <pane xSplit="6" ySplit="8" topLeftCell="G9" activePane="bottomRight" state="frozen"/>
      <selection pane="topRight" activeCell="G1" sqref="G1"/>
      <selection pane="bottomLeft" activeCell="A9" sqref="A9"/>
      <selection pane="bottomRight" activeCell="B1" sqref="B1"/>
    </sheetView>
  </sheetViews>
  <sheetFormatPr baseColWidth="10" defaultColWidth="9.5703125" defaultRowHeight="13" x14ac:dyDescent="0"/>
  <cols>
    <col min="1" max="1" width="3.5703125" style="3" customWidth="1"/>
    <col min="2" max="2" width="35.5703125" style="3" customWidth="1"/>
    <col min="3" max="3" width="9.5703125" style="3" customWidth="1"/>
    <col min="4" max="4" width="1.5703125" style="3" customWidth="1"/>
    <col min="5" max="5" width="9.5703125" style="4" customWidth="1"/>
    <col min="6" max="6" width="1.5703125" style="4" customWidth="1"/>
    <col min="7" max="7" width="4.5703125" style="4" customWidth="1"/>
    <col min="8" max="8" width="9.5703125" style="4" customWidth="1"/>
    <col min="9" max="9" width="1.5703125" style="4" customWidth="1"/>
    <col min="10" max="10" width="9.5703125" style="4" customWidth="1"/>
    <col min="11" max="11" width="4.5703125" style="4" customWidth="1"/>
    <col min="12" max="12" width="1.5703125" style="4" customWidth="1"/>
    <col min="13" max="13" width="0" style="4" hidden="1" customWidth="1"/>
    <col min="14" max="14" width="9.5703125" style="4" customWidth="1"/>
    <col min="15" max="15" width="1.5703125" style="4" customWidth="1"/>
    <col min="16" max="16" width="9.5703125" style="4" customWidth="1"/>
    <col min="17" max="17" width="1.5703125" style="4" customWidth="1"/>
    <col min="18" max="18" width="9.5703125" style="4" customWidth="1"/>
    <col min="19" max="19" width="2.5703125" style="3" customWidth="1"/>
    <col min="20" max="20" width="9.5703125" style="3" customWidth="1"/>
    <col min="21" max="21" width="1.5703125" style="3" customWidth="1"/>
    <col min="22" max="22" width="9.5703125" style="3" customWidth="1"/>
    <col min="23" max="23" width="2.5703125" style="3" customWidth="1"/>
    <col min="24" max="24" width="9.5703125" style="3" customWidth="1"/>
    <col min="25" max="16384" width="9.5703125" style="3"/>
  </cols>
  <sheetData>
    <row r="1" spans="1:24">
      <c r="A1" s="1" t="s">
        <v>0</v>
      </c>
      <c r="B1" s="1"/>
      <c r="C1" s="1"/>
      <c r="D1" s="1"/>
      <c r="E1" s="2"/>
      <c r="F1" s="2"/>
      <c r="G1" s="2"/>
      <c r="H1" s="2"/>
      <c r="I1" s="2"/>
      <c r="J1" s="2"/>
      <c r="K1" s="2"/>
      <c r="L1" s="2"/>
      <c r="M1" s="2"/>
      <c r="N1" s="2"/>
      <c r="O1" s="2"/>
      <c r="P1" s="2"/>
      <c r="Q1" s="2"/>
      <c r="R1" s="2"/>
      <c r="S1" s="1"/>
      <c r="T1" s="1"/>
      <c r="U1" s="1"/>
      <c r="V1" s="1"/>
      <c r="W1" s="1"/>
      <c r="X1" s="1"/>
    </row>
    <row r="2" spans="1:24">
      <c r="A2" s="1" t="s">
        <v>156</v>
      </c>
      <c r="B2" s="1"/>
      <c r="C2" s="1"/>
      <c r="D2" s="1"/>
      <c r="E2" s="2"/>
      <c r="F2" s="2"/>
      <c r="G2" s="2"/>
      <c r="H2" s="2"/>
      <c r="I2" s="2"/>
      <c r="J2" s="2"/>
      <c r="K2" s="2"/>
      <c r="L2" s="2"/>
      <c r="M2" s="2"/>
      <c r="N2" s="2"/>
      <c r="O2" s="2"/>
      <c r="P2" s="2"/>
      <c r="Q2" s="2"/>
      <c r="R2" s="2"/>
      <c r="S2" s="1"/>
      <c r="T2" s="1"/>
      <c r="U2" s="1"/>
      <c r="V2" s="1"/>
      <c r="W2" s="1"/>
      <c r="X2" s="1"/>
    </row>
    <row r="3" spans="1:24">
      <c r="A3" s="1" t="s">
        <v>2</v>
      </c>
      <c r="B3" s="1"/>
      <c r="C3" s="1"/>
      <c r="D3" s="1"/>
      <c r="E3" s="2"/>
      <c r="F3" s="2"/>
      <c r="G3" s="2"/>
      <c r="H3" s="2"/>
      <c r="I3" s="2"/>
      <c r="J3" s="2"/>
      <c r="K3" s="2"/>
      <c r="L3" s="2"/>
      <c r="M3" s="2"/>
      <c r="N3" s="2"/>
      <c r="O3" s="2"/>
      <c r="P3" s="2"/>
      <c r="Q3" s="2"/>
      <c r="R3" s="2"/>
      <c r="S3" s="1"/>
      <c r="T3" s="1"/>
      <c r="U3" s="1"/>
      <c r="V3" s="1"/>
      <c r="W3" s="1"/>
      <c r="X3" s="1"/>
    </row>
    <row r="4" spans="1:24">
      <c r="A4" s="3" t="s">
        <v>120</v>
      </c>
      <c r="C4" s="3">
        <f>IF(C49&gt;E49,0,+E49-C49)</f>
        <v>0</v>
      </c>
      <c r="E4" s="3">
        <f>IF(E49&gt;C49,0,+C49-E49)</f>
        <v>0</v>
      </c>
      <c r="F4" s="3"/>
      <c r="G4" s="3"/>
      <c r="H4" s="3">
        <f>IF(H49&gt;J49,0,+J49-H49)</f>
        <v>0</v>
      </c>
      <c r="I4" s="3"/>
      <c r="J4" s="3">
        <f>IF(J49&gt;H49,0,+H49-J49)</f>
        <v>0</v>
      </c>
      <c r="K4" s="3"/>
      <c r="L4" s="3"/>
      <c r="M4" s="3"/>
      <c r="N4" s="3">
        <f>IF(N49&gt;P49,0,+P49-N49)</f>
        <v>0</v>
      </c>
      <c r="O4" s="3"/>
      <c r="P4" s="3">
        <f>IF(P49&gt;N49,0,+N49-P49)</f>
        <v>0</v>
      </c>
      <c r="Q4" s="3"/>
      <c r="R4" s="3">
        <f>IF(R51&gt;T51,0,+T51-R51)</f>
        <v>0</v>
      </c>
      <c r="T4" s="3">
        <f>IF(T51&gt;R51,0,+R51-T51)</f>
        <v>0</v>
      </c>
      <c r="V4" s="3">
        <f>IF(V51&gt;X51,0,+X51-V51)</f>
        <v>0</v>
      </c>
      <c r="X4" s="3">
        <f>IF(X51&gt;V51,0,+V51-X51)</f>
        <v>0</v>
      </c>
    </row>
    <row r="5" spans="1:24" ht="5" customHeight="1"/>
    <row r="6" spans="1:24">
      <c r="C6" s="1" t="s">
        <v>4</v>
      </c>
      <c r="D6" s="1"/>
      <c r="E6" s="2"/>
      <c r="N6" s="2" t="s">
        <v>4</v>
      </c>
      <c r="O6" s="2"/>
      <c r="P6" s="2"/>
      <c r="V6" s="1"/>
      <c r="W6" s="1"/>
      <c r="X6" s="1"/>
    </row>
    <row r="7" spans="1:24">
      <c r="C7" s="1" t="s">
        <v>5</v>
      </c>
      <c r="D7" s="1"/>
      <c r="E7" s="2"/>
      <c r="G7" s="2" t="s">
        <v>6</v>
      </c>
      <c r="H7" s="2"/>
      <c r="I7" s="2"/>
      <c r="J7" s="2"/>
      <c r="K7" s="2"/>
      <c r="N7" s="2" t="s">
        <v>7</v>
      </c>
      <c r="O7" s="2"/>
      <c r="P7" s="2"/>
      <c r="R7" s="2" t="s">
        <v>8</v>
      </c>
      <c r="S7" s="1"/>
      <c r="T7" s="1"/>
      <c r="V7" s="1" t="s">
        <v>9</v>
      </c>
      <c r="W7" s="1"/>
      <c r="X7" s="1"/>
    </row>
    <row r="8" spans="1:24">
      <c r="A8" s="5"/>
      <c r="B8" s="17" t="s">
        <v>10</v>
      </c>
      <c r="C8" s="6" t="s">
        <v>11</v>
      </c>
      <c r="D8" s="7"/>
      <c r="E8" s="8" t="s">
        <v>12</v>
      </c>
      <c r="G8" s="8" t="s">
        <v>13</v>
      </c>
      <c r="H8" s="9" t="s">
        <v>11</v>
      </c>
      <c r="I8" s="10"/>
      <c r="J8" s="8" t="s">
        <v>12</v>
      </c>
      <c r="K8" s="8" t="s">
        <v>13</v>
      </c>
      <c r="N8" s="8" t="s">
        <v>11</v>
      </c>
      <c r="O8" s="10"/>
      <c r="P8" s="8" t="s">
        <v>12</v>
      </c>
      <c r="R8" s="8" t="s">
        <v>11</v>
      </c>
      <c r="S8" s="7">
        <v>2</v>
      </c>
      <c r="T8" s="11" t="s">
        <v>12</v>
      </c>
      <c r="V8" s="6" t="s">
        <v>11</v>
      </c>
      <c r="W8" s="7">
        <v>1</v>
      </c>
      <c r="X8" s="6" t="s">
        <v>12</v>
      </c>
    </row>
    <row r="9" spans="1:24">
      <c r="A9" s="3">
        <v>1</v>
      </c>
      <c r="B9" s="3" t="s">
        <v>14</v>
      </c>
      <c r="C9" s="7">
        <v>171350</v>
      </c>
      <c r="E9" s="10"/>
      <c r="G9" s="8" t="s">
        <v>157</v>
      </c>
      <c r="H9" s="10">
        <v>246800</v>
      </c>
      <c r="I9" s="141"/>
      <c r="J9" s="10">
        <v>1300000</v>
      </c>
      <c r="K9" s="8">
        <v>7</v>
      </c>
      <c r="M9" s="4">
        <f>C9-E9+SUM(H9:H12)-SUM(J9:J12)</f>
        <v>214320</v>
      </c>
      <c r="N9" s="10">
        <f>IF(M9&gt;0,+M9,0)</f>
        <v>214320</v>
      </c>
      <c r="P9" s="10">
        <f>IF(M9&lt;0,-M9,0)</f>
        <v>0</v>
      </c>
      <c r="R9" s="10">
        <f>IF($A9=$S$8,+N9,0)</f>
        <v>0</v>
      </c>
      <c r="T9" s="7">
        <f>IF($A9=$S$8,+P9,0)</f>
        <v>0</v>
      </c>
      <c r="V9" s="7">
        <f>IF($A9=$W$8,+N9,0)</f>
        <v>214320</v>
      </c>
      <c r="X9" s="7">
        <f>IF($A9=$W$8,+P9,0)</f>
        <v>0</v>
      </c>
    </row>
    <row r="10" spans="1:24">
      <c r="C10" s="146"/>
      <c r="E10" s="16"/>
      <c r="G10" s="19">
        <v>4</v>
      </c>
      <c r="H10" s="16">
        <f>41040+5130</f>
        <v>46170</v>
      </c>
      <c r="I10" s="141"/>
      <c r="J10" s="16"/>
      <c r="K10" s="19"/>
      <c r="N10" s="16"/>
      <c r="P10" s="16"/>
      <c r="R10" s="16"/>
      <c r="T10" s="146"/>
      <c r="V10" s="146"/>
      <c r="X10" s="146"/>
    </row>
    <row r="11" spans="1:24">
      <c r="C11" s="146"/>
      <c r="E11" s="16"/>
      <c r="G11" s="19">
        <v>6</v>
      </c>
      <c r="H11" s="16">
        <v>1050000</v>
      </c>
      <c r="I11" s="141"/>
      <c r="J11" s="16"/>
      <c r="K11" s="19"/>
      <c r="N11" s="16"/>
      <c r="P11" s="16"/>
      <c r="R11" s="16"/>
      <c r="T11" s="146"/>
      <c r="V11" s="146"/>
      <c r="X11" s="146"/>
    </row>
    <row r="12" spans="1:24" ht="5" customHeight="1">
      <c r="B12" s="18"/>
      <c r="C12" s="18"/>
      <c r="D12" s="18"/>
      <c r="E12" s="18"/>
      <c r="G12" s="141"/>
      <c r="I12" s="141"/>
      <c r="K12" s="141"/>
    </row>
    <row r="13" spans="1:24">
      <c r="A13" s="3">
        <v>1</v>
      </c>
      <c r="B13" s="3" t="s">
        <v>16</v>
      </c>
      <c r="C13" s="3">
        <v>1237000</v>
      </c>
      <c r="G13" s="141">
        <v>9</v>
      </c>
      <c r="H13" s="4">
        <v>17000</v>
      </c>
      <c r="I13" s="141"/>
      <c r="J13" s="4">
        <v>1000000</v>
      </c>
      <c r="K13" s="141">
        <v>6</v>
      </c>
      <c r="M13" s="4">
        <f>C13-E13+SUM(H13:H14)-SUM(J13:J14)</f>
        <v>254000</v>
      </c>
      <c r="N13" s="4">
        <f>IF(M13&gt;0,+M13,0)</f>
        <v>254000</v>
      </c>
      <c r="P13" s="4">
        <f>IF(M13&lt;0,-M13,0)</f>
        <v>0</v>
      </c>
      <c r="R13" s="4">
        <f>IF($A13=$S$8,+N13,0)</f>
        <v>0</v>
      </c>
      <c r="T13" s="3">
        <f>IF($A13=$S$8,+P13,0)</f>
        <v>0</v>
      </c>
      <c r="V13" s="3">
        <f>IF($A13=$W$8,+N13,0)</f>
        <v>254000</v>
      </c>
      <c r="X13" s="3">
        <f>IF($A13=$W$8,+P13,0)</f>
        <v>0</v>
      </c>
    </row>
    <row r="14" spans="1:24" ht="5" customHeight="1">
      <c r="B14" s="18"/>
      <c r="C14" s="18"/>
      <c r="D14" s="18"/>
      <c r="E14" s="18"/>
      <c r="G14" s="141"/>
      <c r="I14" s="141"/>
      <c r="K14" s="141"/>
    </row>
    <row r="15" spans="1:24">
      <c r="A15" s="3">
        <v>1</v>
      </c>
      <c r="B15" s="3" t="s">
        <v>19</v>
      </c>
      <c r="C15" s="3">
        <v>52000</v>
      </c>
      <c r="G15" s="141" t="s">
        <v>158</v>
      </c>
      <c r="H15" s="4">
        <v>53200</v>
      </c>
      <c r="I15" s="141"/>
      <c r="J15" s="4">
        <v>41040</v>
      </c>
      <c r="K15" s="141">
        <v>4</v>
      </c>
      <c r="M15" s="4">
        <f>C15-E15+SUM(H15:H17)-SUM(J15:J17)</f>
        <v>59790</v>
      </c>
      <c r="N15" s="4">
        <f>IF(M15&gt;0,+M15,0)</f>
        <v>59790</v>
      </c>
      <c r="P15" s="4">
        <f>IF(M15&lt;0,-M15,0)</f>
        <v>0</v>
      </c>
      <c r="R15" s="4">
        <f>IF($A15=$S$8,+N15,0)</f>
        <v>0</v>
      </c>
      <c r="T15" s="3">
        <f>IF($A15=$S$8,+P15,0)</f>
        <v>0</v>
      </c>
      <c r="V15" s="3">
        <f>IF($A15=$W$8,+N15,0)</f>
        <v>59790</v>
      </c>
      <c r="X15" s="3">
        <f>IF($A15=$W$8,+P15,0)</f>
        <v>0</v>
      </c>
    </row>
    <row r="16" spans="1:24">
      <c r="G16" s="141"/>
      <c r="I16" s="141"/>
      <c r="J16" s="4">
        <v>4370</v>
      </c>
      <c r="K16" s="141">
        <v>5</v>
      </c>
    </row>
    <row r="17" spans="1:24" ht="5" customHeight="1">
      <c r="B17" s="18"/>
      <c r="C17" s="18"/>
      <c r="D17" s="18"/>
      <c r="E17" s="18"/>
      <c r="G17" s="141"/>
      <c r="I17" s="141"/>
      <c r="K17" s="141"/>
    </row>
    <row r="18" spans="1:24">
      <c r="A18" s="3">
        <v>1</v>
      </c>
      <c r="B18" s="3" t="s">
        <v>20</v>
      </c>
      <c r="E18" s="4">
        <v>5800</v>
      </c>
      <c r="G18" s="141">
        <v>5</v>
      </c>
      <c r="H18" s="4">
        <v>4370</v>
      </c>
      <c r="I18" s="141"/>
      <c r="J18" s="4">
        <v>3000</v>
      </c>
      <c r="K18" s="141" t="s">
        <v>159</v>
      </c>
      <c r="M18" s="4">
        <f>C18-E18+SUM(H18:H19)-SUM(J18:J19)</f>
        <v>-4430</v>
      </c>
      <c r="N18" s="4">
        <f>IF(M18&gt;0,+M18,0)</f>
        <v>0</v>
      </c>
      <c r="P18" s="4">
        <f>IF(M18&lt;0,-M18,0)</f>
        <v>4430</v>
      </c>
      <c r="R18" s="4">
        <f>IF($A18=$S$8,+N18,0)</f>
        <v>0</v>
      </c>
      <c r="T18" s="3">
        <f>IF($A18=$S$8,+P18,0)</f>
        <v>0</v>
      </c>
      <c r="V18" s="3">
        <f>IF($A18=$W$8,+N18,0)</f>
        <v>0</v>
      </c>
      <c r="X18" s="3">
        <f>IF($A18=$W$8,+P18,0)</f>
        <v>4430</v>
      </c>
    </row>
    <row r="19" spans="1:24" ht="5" customHeight="1">
      <c r="B19" s="18"/>
      <c r="C19" s="18"/>
      <c r="D19" s="18"/>
      <c r="E19" s="18"/>
      <c r="G19" s="141"/>
      <c r="I19" s="141"/>
      <c r="K19" s="141"/>
    </row>
    <row r="20" spans="1:24">
      <c r="A20" s="3">
        <v>1</v>
      </c>
      <c r="B20" s="3" t="s">
        <v>21</v>
      </c>
      <c r="C20" s="3">
        <v>10900</v>
      </c>
      <c r="G20" s="141">
        <v>3</v>
      </c>
      <c r="H20" s="4">
        <v>6650</v>
      </c>
      <c r="I20" s="141"/>
      <c r="J20" s="4">
        <v>5130</v>
      </c>
      <c r="K20" s="141">
        <v>4</v>
      </c>
      <c r="M20" s="4">
        <f>C20-E20+SUM(H20:H22)-SUM(J20:J22)</f>
        <v>11050</v>
      </c>
      <c r="N20" s="4">
        <f>IF(M20&gt;0,+M20,0)</f>
        <v>11050</v>
      </c>
      <c r="P20" s="4">
        <f>IF(M20&lt;0,-M20,0)</f>
        <v>0</v>
      </c>
      <c r="R20" s="4">
        <f>IF($A20=$S$8,+N20,0)</f>
        <v>0</v>
      </c>
      <c r="T20" s="3">
        <f>IF($A20=$S$8,+P20,0)</f>
        <v>0</v>
      </c>
      <c r="V20" s="3">
        <f>IF($A20=$W$8,+N20,0)</f>
        <v>11050</v>
      </c>
      <c r="X20" s="3">
        <f>IF($A20=$W$8,+P20,0)</f>
        <v>0</v>
      </c>
    </row>
    <row r="21" spans="1:24">
      <c r="G21" s="141"/>
      <c r="I21" s="141"/>
      <c r="J21" s="4">
        <v>1370</v>
      </c>
      <c r="K21" s="141">
        <v>5</v>
      </c>
    </row>
    <row r="22" spans="1:24" ht="5" customHeight="1">
      <c r="B22" s="18"/>
      <c r="C22" s="18"/>
      <c r="D22" s="18"/>
      <c r="E22" s="18"/>
      <c r="G22" s="141"/>
      <c r="I22" s="141"/>
      <c r="K22" s="141"/>
    </row>
    <row r="23" spans="1:24">
      <c r="A23" s="3">
        <v>1</v>
      </c>
      <c r="B23" s="3" t="s">
        <v>22</v>
      </c>
      <c r="E23" s="4">
        <v>3500</v>
      </c>
      <c r="G23" s="141">
        <v>5</v>
      </c>
      <c r="H23" s="4">
        <v>1370</v>
      </c>
      <c r="I23" s="141"/>
      <c r="J23" s="4">
        <v>1370</v>
      </c>
      <c r="K23" s="141">
        <v>3</v>
      </c>
      <c r="M23" s="4">
        <f>C23-E23+SUM(H23:H24)-SUM(J23:J24)</f>
        <v>-3500</v>
      </c>
      <c r="N23" s="4">
        <f>IF(M23&gt;0,+M23,0)</f>
        <v>0</v>
      </c>
      <c r="P23" s="4">
        <f>IF(M23&lt;0,-M23,0)</f>
        <v>3500</v>
      </c>
      <c r="R23" s="4">
        <f>IF($A23=$S$8,+N23,0)</f>
        <v>0</v>
      </c>
      <c r="T23" s="3">
        <f>IF($A23=$S$8,+P23,0)</f>
        <v>0</v>
      </c>
      <c r="V23" s="3">
        <f>IF($A23=$W$8,+N23,0)</f>
        <v>0</v>
      </c>
      <c r="X23" s="3">
        <f>IF($A23=$W$8,+P23,0)</f>
        <v>3500</v>
      </c>
    </row>
    <row r="24" spans="1:24" ht="5" customHeight="1">
      <c r="B24" s="18"/>
      <c r="C24" s="18"/>
      <c r="D24" s="18"/>
      <c r="E24" s="18"/>
      <c r="G24" s="141"/>
      <c r="I24" s="141"/>
      <c r="K24" s="141"/>
    </row>
    <row r="25" spans="1:24">
      <c r="A25" s="3">
        <v>1</v>
      </c>
      <c r="B25" s="3" t="s">
        <v>27</v>
      </c>
      <c r="E25" s="4">
        <v>50000</v>
      </c>
      <c r="G25" s="141" t="s">
        <v>160</v>
      </c>
      <c r="H25" s="4">
        <v>50000</v>
      </c>
      <c r="I25" s="141"/>
      <c r="J25" s="4">
        <v>52000</v>
      </c>
      <c r="K25" s="141" t="s">
        <v>161</v>
      </c>
      <c r="M25" s="4">
        <f>C25-E25+SUM(H25:H26)-SUM(J25:J26)</f>
        <v>-52000</v>
      </c>
      <c r="N25" s="4">
        <f>IF(M25&gt;0,+M25,0)</f>
        <v>0</v>
      </c>
      <c r="P25" s="4">
        <f>IF(M25&lt;0,-M25,0)</f>
        <v>52000</v>
      </c>
      <c r="R25" s="4">
        <f>IF($A25=$S$8,+N25,0)</f>
        <v>0</v>
      </c>
      <c r="T25" s="3">
        <f>IF($A25=$S$8,+P25,0)</f>
        <v>0</v>
      </c>
      <c r="V25" s="3">
        <f>IF($A25=$W$8,+N25,0)</f>
        <v>0</v>
      </c>
      <c r="X25" s="3">
        <f>IF($A25=$W$8,+P25,0)</f>
        <v>52000</v>
      </c>
    </row>
    <row r="26" spans="1:24" ht="5" customHeight="1">
      <c r="B26" s="18"/>
      <c r="C26" s="18"/>
      <c r="D26" s="18"/>
      <c r="E26" s="18"/>
      <c r="G26" s="141"/>
      <c r="I26" s="141"/>
      <c r="K26" s="141"/>
    </row>
    <row r="27" spans="1:24">
      <c r="A27" s="3">
        <v>1</v>
      </c>
      <c r="B27" s="3" t="s">
        <v>29</v>
      </c>
      <c r="E27" s="4">
        <v>1411950</v>
      </c>
      <c r="G27" s="141"/>
      <c r="I27" s="141"/>
      <c r="K27" s="141"/>
      <c r="M27" s="4">
        <f>C27-E27+SUM(H27:H28)-SUM(J27:J28)</f>
        <v>-1411950</v>
      </c>
      <c r="N27" s="4">
        <f>IF(M27&gt;0,+M27,0)</f>
        <v>0</v>
      </c>
      <c r="P27" s="4">
        <f>IF(M27&lt;0,-M27,0)</f>
        <v>1411950</v>
      </c>
      <c r="R27" s="4">
        <f>IF($A27=$S$8,+N27,0)</f>
        <v>0</v>
      </c>
      <c r="T27" s="3">
        <f>IF($A27=$S$8,+P27,0)</f>
        <v>0</v>
      </c>
      <c r="V27" s="3">
        <f>IF($A27=$W$8,+N27,0)</f>
        <v>0</v>
      </c>
      <c r="X27" s="3">
        <f>IF($A27=$W$8,+P27,0)</f>
        <v>1411950</v>
      </c>
    </row>
    <row r="28" spans="1:24" ht="5" customHeight="1">
      <c r="B28" s="18"/>
      <c r="C28" s="18"/>
      <c r="D28" s="18"/>
      <c r="E28" s="18"/>
      <c r="G28" s="141"/>
      <c r="I28" s="141"/>
      <c r="K28" s="141"/>
    </row>
    <row r="29" spans="1:24">
      <c r="A29" s="3">
        <v>1</v>
      </c>
      <c r="B29" s="3" t="s">
        <v>17</v>
      </c>
      <c r="G29" s="141">
        <v>1</v>
      </c>
      <c r="H29" s="4">
        <v>300000</v>
      </c>
      <c r="I29" s="141"/>
      <c r="J29" s="4">
        <v>246800</v>
      </c>
      <c r="K29" s="141" t="s">
        <v>157</v>
      </c>
      <c r="M29" s="4">
        <f>C29-E29+SUM(H29:H31)-SUM(J29:J31)</f>
        <v>0</v>
      </c>
      <c r="N29" s="4">
        <f>IF(M29&gt;0,+M29,0)</f>
        <v>0</v>
      </c>
      <c r="P29" s="4">
        <f>IF(M29&lt;0,-M29,0)</f>
        <v>0</v>
      </c>
      <c r="R29" s="4">
        <f>IF($A29=$S$8,+N29,0)</f>
        <v>0</v>
      </c>
      <c r="T29" s="3">
        <f>IF($A29=$S$8,+P29,0)</f>
        <v>0</v>
      </c>
      <c r="V29" s="3">
        <f>IF($A29=$W$8,+N29,0)</f>
        <v>0</v>
      </c>
      <c r="X29" s="3">
        <f>IF($A29=$W$8,+P29,0)</f>
        <v>0</v>
      </c>
    </row>
    <row r="30" spans="1:24">
      <c r="G30" s="141"/>
      <c r="I30" s="141"/>
      <c r="J30" s="4">
        <v>53200</v>
      </c>
      <c r="K30" s="141" t="s">
        <v>158</v>
      </c>
    </row>
    <row r="31" spans="1:24" ht="5" customHeight="1">
      <c r="B31" s="18"/>
      <c r="C31" s="18"/>
      <c r="D31" s="18"/>
      <c r="E31" s="18"/>
      <c r="G31" s="141"/>
      <c r="I31" s="141"/>
      <c r="K31" s="141"/>
    </row>
    <row r="32" spans="1:24">
      <c r="A32" s="3">
        <v>1</v>
      </c>
      <c r="B32" s="3" t="s">
        <v>18</v>
      </c>
      <c r="G32" s="141" t="s">
        <v>159</v>
      </c>
      <c r="H32" s="4">
        <v>3000</v>
      </c>
      <c r="I32" s="141"/>
      <c r="J32" s="4">
        <v>3000</v>
      </c>
      <c r="K32" s="141">
        <v>1</v>
      </c>
      <c r="M32" s="4">
        <f>C32-E32+SUM(H32:H33)-SUM(J32:J33)</f>
        <v>0</v>
      </c>
      <c r="N32" s="4">
        <f>IF(M32&gt;0,+M32,0)</f>
        <v>0</v>
      </c>
      <c r="P32" s="4">
        <f>IF(M32&lt;0,-M32,0)</f>
        <v>0</v>
      </c>
      <c r="R32" s="4">
        <f>IF($A32=$S$8,+N32,0)</f>
        <v>0</v>
      </c>
      <c r="T32" s="3">
        <f>IF($A32=$S$8,+P32,0)</f>
        <v>0</v>
      </c>
      <c r="V32" s="3">
        <f>IF($A32=$W$8,+N32,0)</f>
        <v>0</v>
      </c>
      <c r="X32" s="3">
        <f>IF($A32=$W$8,+P32,0)</f>
        <v>0</v>
      </c>
    </row>
    <row r="33" spans="1:24" ht="5" customHeight="1">
      <c r="B33" s="18"/>
      <c r="C33" s="18"/>
      <c r="D33" s="18"/>
      <c r="E33" s="18"/>
      <c r="G33" s="141"/>
      <c r="I33" s="141"/>
      <c r="K33" s="141"/>
    </row>
    <row r="34" spans="1:24">
      <c r="A34" s="3">
        <v>2</v>
      </c>
      <c r="B34" s="3" t="s">
        <v>35</v>
      </c>
      <c r="G34" s="141" t="s">
        <v>161</v>
      </c>
      <c r="H34" s="4">
        <v>45050</v>
      </c>
      <c r="I34" s="141"/>
      <c r="J34" s="4">
        <v>297000</v>
      </c>
      <c r="K34" s="141">
        <v>1</v>
      </c>
      <c r="M34" s="4">
        <f>C34-E34+SUM(H34:H36)-SUM(J34:J36)</f>
        <v>-295050</v>
      </c>
      <c r="N34" s="4">
        <f>IF(M34&gt;0,+M34,0)</f>
        <v>0</v>
      </c>
      <c r="P34" s="4">
        <f>IF(M34&lt;0,-M34,0)</f>
        <v>295050</v>
      </c>
      <c r="R34" s="4">
        <f>IF($A34=$S$8,+N34,0)</f>
        <v>0</v>
      </c>
      <c r="T34" s="3">
        <f>IF($A34=$S$8,+P34,0)</f>
        <v>295050</v>
      </c>
      <c r="V34" s="3">
        <f>IF($A34=$W$8,+N34,0)</f>
        <v>0</v>
      </c>
      <c r="X34" s="3">
        <f>IF($A34=$W$8,+P34,0)</f>
        <v>0</v>
      </c>
    </row>
    <row r="35" spans="1:24">
      <c r="G35" s="141"/>
      <c r="I35" s="141"/>
      <c r="J35" s="4">
        <v>43100</v>
      </c>
      <c r="K35" s="141" t="s">
        <v>160</v>
      </c>
    </row>
    <row r="36" spans="1:24" ht="5" customHeight="1">
      <c r="B36" s="18"/>
      <c r="C36" s="18"/>
      <c r="D36" s="18"/>
      <c r="E36" s="18"/>
      <c r="G36" s="141"/>
      <c r="I36" s="141"/>
      <c r="K36" s="141"/>
    </row>
    <row r="37" spans="1:24">
      <c r="A37" s="3">
        <v>2</v>
      </c>
      <c r="B37" s="3" t="s">
        <v>51</v>
      </c>
      <c r="G37" s="141" t="s">
        <v>161</v>
      </c>
      <c r="H37" s="4">
        <v>6950</v>
      </c>
      <c r="I37" s="141"/>
      <c r="J37" s="4">
        <v>5280</v>
      </c>
      <c r="K37" s="141">
        <v>3</v>
      </c>
      <c r="M37" s="4">
        <f>C37-E37+SUM(H37:H39)-SUM(J37:J39)</f>
        <v>-5230</v>
      </c>
      <c r="N37" s="4">
        <f>IF(M37&gt;0,+M37,0)</f>
        <v>0</v>
      </c>
      <c r="P37" s="4">
        <f>IF(M37&lt;0,-M37,0)</f>
        <v>5230</v>
      </c>
      <c r="R37" s="4">
        <f>IF($A37=$S$8,+N37,0)</f>
        <v>0</v>
      </c>
      <c r="T37" s="3">
        <f>IF($A37=$S$8,+P37,0)</f>
        <v>5230</v>
      </c>
      <c r="V37" s="3">
        <f>IF($A37=$W$8,+N37,0)</f>
        <v>0</v>
      </c>
      <c r="X37" s="3">
        <f>IF($A37=$W$8,+P37,0)</f>
        <v>0</v>
      </c>
    </row>
    <row r="38" spans="1:24">
      <c r="G38" s="141"/>
      <c r="I38" s="141"/>
      <c r="J38" s="4">
        <v>6900</v>
      </c>
      <c r="K38" s="141" t="s">
        <v>160</v>
      </c>
    </row>
    <row r="39" spans="1:24" ht="5" customHeight="1">
      <c r="B39" s="18"/>
      <c r="C39" s="18"/>
      <c r="D39" s="18"/>
      <c r="E39" s="18"/>
      <c r="G39" s="141"/>
      <c r="I39" s="141"/>
      <c r="K39" s="141"/>
    </row>
    <row r="40" spans="1:24">
      <c r="A40" s="3">
        <v>2</v>
      </c>
      <c r="B40" s="3" t="s">
        <v>39</v>
      </c>
      <c r="G40" s="141"/>
      <c r="I40" s="141"/>
      <c r="J40" s="4">
        <v>50000</v>
      </c>
      <c r="K40" s="141">
        <v>6</v>
      </c>
      <c r="M40" s="4">
        <f>C40-E40+SUM(H40:H42)-SUM(J40:J42)</f>
        <v>-67000</v>
      </c>
      <c r="N40" s="4">
        <f>IF(M40&gt;0,+M40,0)</f>
        <v>0</v>
      </c>
      <c r="P40" s="4">
        <f>IF(M40&lt;0,-M40,0)</f>
        <v>67000</v>
      </c>
      <c r="R40" s="4">
        <f>IF($A40=$S$8,+N40,0)</f>
        <v>0</v>
      </c>
      <c r="T40" s="3">
        <f>IF($A40=$S$8,+P40,0)</f>
        <v>67000</v>
      </c>
      <c r="V40" s="3">
        <f>IF($A40=$W$8,+N40,0)</f>
        <v>0</v>
      </c>
      <c r="X40" s="3">
        <f>IF($A40=$W$8,+P40,0)</f>
        <v>0</v>
      </c>
    </row>
    <row r="41" spans="1:24">
      <c r="G41" s="141"/>
      <c r="I41" s="141"/>
      <c r="J41" s="4">
        <v>17000</v>
      </c>
      <c r="K41" s="141">
        <v>9</v>
      </c>
    </row>
    <row r="42" spans="1:24" ht="5" customHeight="1">
      <c r="B42" s="18"/>
      <c r="C42" s="18"/>
      <c r="D42" s="18"/>
      <c r="E42" s="18"/>
      <c r="G42" s="141"/>
      <c r="I42" s="141"/>
      <c r="K42" s="141"/>
    </row>
    <row r="43" spans="1:24">
      <c r="A43" s="3">
        <v>2</v>
      </c>
      <c r="B43" s="3" t="s">
        <v>162</v>
      </c>
      <c r="G43" s="141">
        <v>7</v>
      </c>
      <c r="H43" s="4">
        <v>500000</v>
      </c>
      <c r="I43" s="141"/>
      <c r="K43" s="141"/>
      <c r="M43" s="4">
        <f>C43-E43+SUM(H43:H44)-SUM(J43:J44)</f>
        <v>500000</v>
      </c>
      <c r="N43" s="4">
        <f>IF(M43&gt;0,+M43,0)</f>
        <v>500000</v>
      </c>
      <c r="P43" s="4">
        <f>IF(M43&lt;0,-M43,0)</f>
        <v>0</v>
      </c>
      <c r="R43" s="4">
        <f>IF($A43=$S$8,+N43,0)</f>
        <v>500000</v>
      </c>
      <c r="T43" s="3">
        <f>IF($A43=$S$8,+P43,0)</f>
        <v>0</v>
      </c>
      <c r="V43" s="3">
        <f>IF($A43=$W$8,+N43,0)</f>
        <v>0</v>
      </c>
      <c r="X43" s="3">
        <f>IF($A43=$W$8,+P43,0)</f>
        <v>0</v>
      </c>
    </row>
    <row r="44" spans="1:24" ht="5" customHeight="1">
      <c r="B44" s="18"/>
      <c r="C44" s="18"/>
      <c r="D44" s="18"/>
      <c r="E44" s="18"/>
      <c r="G44" s="141"/>
      <c r="I44" s="141"/>
      <c r="K44" s="141"/>
    </row>
    <row r="45" spans="1:24">
      <c r="A45" s="3">
        <v>2</v>
      </c>
      <c r="B45" s="3" t="s">
        <v>163</v>
      </c>
      <c r="G45" s="141">
        <v>7</v>
      </c>
      <c r="H45" s="4">
        <v>800000</v>
      </c>
      <c r="I45" s="141"/>
      <c r="K45" s="141"/>
      <c r="M45" s="4">
        <f>C45-E45+SUM(H45:H46)-SUM(J45:J46)</f>
        <v>800000</v>
      </c>
      <c r="N45" s="4">
        <f>IF(M45&gt;0,+M45,0)</f>
        <v>800000</v>
      </c>
      <c r="P45" s="4">
        <f>IF(M45&lt;0,-M45,0)</f>
        <v>0</v>
      </c>
      <c r="R45" s="4">
        <f>IF($A45=$S$8,+N45,0)</f>
        <v>800000</v>
      </c>
      <c r="T45" s="3">
        <f>IF($A45=$S$8,+P45,0)</f>
        <v>0</v>
      </c>
      <c r="V45" s="3">
        <f>IF($A45=$W$8,+N45,0)</f>
        <v>0</v>
      </c>
      <c r="X45" s="3">
        <f>IF($A45=$W$8,+P45,0)</f>
        <v>0</v>
      </c>
    </row>
    <row r="46" spans="1:24" ht="5" customHeight="1">
      <c r="B46" s="18"/>
      <c r="C46" s="18"/>
      <c r="D46" s="18"/>
      <c r="E46" s="18"/>
      <c r="G46" s="141"/>
      <c r="I46" s="141"/>
      <c r="K46" s="141"/>
    </row>
    <row r="47" spans="1:24">
      <c r="G47" s="141"/>
      <c r="I47" s="141"/>
      <c r="K47" s="141"/>
      <c r="M47" s="4">
        <f>C47-E47+SUM(H47:H48)-SUM(J47:J48)</f>
        <v>0</v>
      </c>
      <c r="N47" s="4">
        <f>IF(M47&gt;0,+M47,0)</f>
        <v>0</v>
      </c>
      <c r="P47" s="4">
        <f>IF(M47&lt;0,-M47,0)</f>
        <v>0</v>
      </c>
      <c r="R47" s="4">
        <f>IF($A47=$S$8,+N47,0)</f>
        <v>0</v>
      </c>
      <c r="T47" s="3">
        <f>IF($A47=$S$8,+P47,0)</f>
        <v>0</v>
      </c>
      <c r="V47" s="3">
        <f>IF($A47=$W$8,+N47,0)</f>
        <v>0</v>
      </c>
      <c r="X47" s="3">
        <f>IF($A47=$W$8,+P47,0)</f>
        <v>0</v>
      </c>
    </row>
    <row r="48" spans="1:24" ht="5" customHeight="1" thickBot="1">
      <c r="B48" s="18"/>
      <c r="C48" s="18"/>
      <c r="D48" s="18"/>
      <c r="E48" s="18"/>
      <c r="G48" s="141"/>
    </row>
    <row r="49" spans="2:24" ht="14" thickBot="1">
      <c r="C49" s="12">
        <f>SUM(C9:C48)</f>
        <v>1471250</v>
      </c>
      <c r="E49" s="13">
        <f>SUM(E9:E48)</f>
        <v>1471250</v>
      </c>
      <c r="H49" s="13">
        <f>SUM(H9:H48)</f>
        <v>3130560</v>
      </c>
      <c r="J49" s="13">
        <f>SUM(J9:J48)</f>
        <v>3130560</v>
      </c>
      <c r="N49" s="13">
        <f>SUM(N9:N47)</f>
        <v>1839160</v>
      </c>
      <c r="P49" s="13">
        <f>SUM(P9:P47)</f>
        <v>1839160</v>
      </c>
      <c r="R49" s="10">
        <f>SUM(R9:R47)</f>
        <v>1300000</v>
      </c>
      <c r="T49" s="7">
        <f>SUM(T9:T47)</f>
        <v>367280</v>
      </c>
      <c r="V49" s="7">
        <f>SUM(V9:V48)</f>
        <v>539160</v>
      </c>
      <c r="X49" s="7">
        <f>SUM(X9:X48)</f>
        <v>1471880</v>
      </c>
    </row>
    <row r="50" spans="2:24" ht="15" thickTop="1" thickBot="1">
      <c r="B50" s="3" t="s">
        <v>55</v>
      </c>
      <c r="C50" s="14"/>
      <c r="E50" s="15"/>
      <c r="H50" s="15"/>
      <c r="J50" s="15"/>
      <c r="N50" s="15"/>
      <c r="P50" s="15"/>
      <c r="R50" s="4">
        <f>IF(R49&gt;T49,0,+T49-R49)</f>
        <v>0</v>
      </c>
      <c r="T50" s="3">
        <f>IF(T49&gt;R49,0,+R49-T49)</f>
        <v>932720</v>
      </c>
      <c r="V50" s="3">
        <f>T50</f>
        <v>932720</v>
      </c>
      <c r="X50" s="3">
        <f>R50</f>
        <v>0</v>
      </c>
    </row>
    <row r="51" spans="2:24" ht="14" thickBot="1">
      <c r="R51" s="13">
        <f>R50+R49</f>
        <v>1300000</v>
      </c>
      <c r="T51" s="12">
        <f>T50+T49</f>
        <v>1300000</v>
      </c>
      <c r="V51" s="12">
        <f>V50+V49</f>
        <v>1471880</v>
      </c>
      <c r="X51" s="12">
        <f>X50+X49</f>
        <v>1471880</v>
      </c>
    </row>
    <row r="52" spans="2:24" ht="14" thickTop="1">
      <c r="R52" s="15"/>
      <c r="T52" s="14"/>
      <c r="V52" s="14"/>
      <c r="X52" s="14"/>
    </row>
  </sheetData>
  <pageMargins left="0.2" right="0.2" top="0.75" bottom="0.75" header="0.3" footer="0.3"/>
  <pageSetup scale="69" orientation="landscape"/>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2"/>
  <sheetViews>
    <sheetView workbookViewId="0">
      <selection activeCell="D7" sqref="D7:E21"/>
    </sheetView>
  </sheetViews>
  <sheetFormatPr baseColWidth="10" defaultColWidth="8.5703125" defaultRowHeight="13" x14ac:dyDescent="0"/>
  <cols>
    <col min="1" max="2" width="2.5703125" style="24" customWidth="1"/>
    <col min="3" max="3" width="30.5703125" style="24" customWidth="1"/>
    <col min="4" max="5" width="9.5703125" style="24" customWidth="1"/>
    <col min="6" max="16384" width="8.5703125" style="24"/>
  </cols>
  <sheetData>
    <row r="1" spans="1:5">
      <c r="A1" s="153" t="s">
        <v>56</v>
      </c>
      <c r="B1" s="153"/>
      <c r="C1" s="153"/>
      <c r="D1" s="153"/>
      <c r="E1" s="153"/>
    </row>
    <row r="2" spans="1:5">
      <c r="A2" s="153" t="s">
        <v>164</v>
      </c>
      <c r="B2" s="153"/>
      <c r="C2" s="153"/>
      <c r="D2" s="153"/>
      <c r="E2" s="153"/>
    </row>
    <row r="3" spans="1:5">
      <c r="A3" s="153" t="s">
        <v>58</v>
      </c>
      <c r="B3" s="153"/>
      <c r="C3" s="153"/>
      <c r="D3" s="153"/>
      <c r="E3" s="153"/>
    </row>
    <row r="4" spans="1:5">
      <c r="A4" s="153" t="s">
        <v>59</v>
      </c>
      <c r="B4" s="153"/>
      <c r="C4" s="153"/>
      <c r="D4" s="153"/>
      <c r="E4" s="153"/>
    </row>
    <row r="5" spans="1:5">
      <c r="A5" s="25"/>
      <c r="B5" s="25"/>
      <c r="C5" s="25"/>
      <c r="D5" s="25"/>
      <c r="E5" s="25"/>
    </row>
    <row r="6" spans="1:5">
      <c r="A6" s="32" t="s">
        <v>60</v>
      </c>
      <c r="B6" s="32"/>
      <c r="C6" s="32"/>
      <c r="D6" s="32"/>
      <c r="E6" s="32"/>
    </row>
    <row r="7" spans="1:5">
      <c r="B7" s="32" t="s">
        <v>61</v>
      </c>
      <c r="C7" s="32"/>
      <c r="D7" s="49"/>
      <c r="E7" s="32"/>
    </row>
    <row r="8" spans="1:5">
      <c r="B8" s="32" t="s">
        <v>62</v>
      </c>
      <c r="C8" s="32"/>
      <c r="D8" s="43"/>
      <c r="E8" s="32"/>
    </row>
    <row r="9" spans="1:5">
      <c r="B9" s="32" t="s">
        <v>66</v>
      </c>
      <c r="C9" s="32"/>
      <c r="D9" s="43"/>
      <c r="E9" s="32"/>
    </row>
    <row r="10" spans="1:5">
      <c r="B10" s="32"/>
      <c r="C10" s="32" t="s">
        <v>67</v>
      </c>
      <c r="D10" s="42"/>
      <c r="E10" s="49"/>
    </row>
    <row r="11" spans="1:5">
      <c r="A11" s="32"/>
      <c r="B11" s="32"/>
      <c r="C11" s="32"/>
      <c r="D11" s="32"/>
      <c r="E11" s="32"/>
    </row>
    <row r="12" spans="1:5">
      <c r="A12" s="32" t="s">
        <v>68</v>
      </c>
      <c r="B12" s="32"/>
      <c r="C12" s="32"/>
      <c r="D12" s="32"/>
      <c r="E12" s="32"/>
    </row>
    <row r="13" spans="1:5">
      <c r="A13" s="32" t="s">
        <v>165</v>
      </c>
      <c r="B13" s="32"/>
      <c r="C13" s="32"/>
      <c r="D13" s="32"/>
      <c r="E13" s="32"/>
    </row>
    <row r="14" spans="1:5">
      <c r="B14" s="32" t="s">
        <v>146</v>
      </c>
      <c r="C14" s="32"/>
      <c r="D14" s="43"/>
      <c r="E14" s="43"/>
    </row>
    <row r="15" spans="1:5">
      <c r="B15" s="32" t="s">
        <v>166</v>
      </c>
      <c r="C15" s="32"/>
      <c r="D15" s="43"/>
      <c r="E15" s="43"/>
    </row>
    <row r="16" spans="1:5">
      <c r="B16" s="32"/>
      <c r="C16" s="32" t="s">
        <v>76</v>
      </c>
      <c r="D16" s="46"/>
      <c r="E16" s="43"/>
    </row>
    <row r="17" spans="1:5">
      <c r="B17" s="32"/>
      <c r="C17" s="32"/>
      <c r="D17" s="43"/>
      <c r="E17" s="46"/>
    </row>
    <row r="18" spans="1:5">
      <c r="A18" s="32" t="s">
        <v>167</v>
      </c>
      <c r="B18" s="32"/>
      <c r="C18" s="32"/>
      <c r="D18" s="43"/>
      <c r="E18" s="43"/>
    </row>
    <row r="19" spans="1:5">
      <c r="A19" s="32"/>
      <c r="B19" s="32"/>
      <c r="C19" s="32"/>
      <c r="D19" s="43"/>
      <c r="E19" s="43"/>
    </row>
    <row r="20" spans="1:5">
      <c r="A20" s="32" t="s">
        <v>87</v>
      </c>
      <c r="B20" s="32"/>
      <c r="C20" s="32"/>
      <c r="D20" s="43"/>
      <c r="E20" s="43"/>
    </row>
    <row r="21" spans="1:5" ht="14" thickBot="1">
      <c r="A21" s="32" t="s">
        <v>88</v>
      </c>
      <c r="B21" s="32"/>
      <c r="C21" s="32"/>
      <c r="D21" s="43"/>
      <c r="E21" s="48"/>
    </row>
    <row r="22" spans="1:5" ht="14" thickTop="1">
      <c r="A22" s="34"/>
      <c r="B22" s="34"/>
      <c r="C22" s="34"/>
      <c r="D22" s="34"/>
      <c r="E22" s="34"/>
    </row>
  </sheetData>
  <mergeCells count="4">
    <mergeCell ref="A1:E1"/>
    <mergeCell ref="A2:E2"/>
    <mergeCell ref="A3:E3"/>
    <mergeCell ref="A4:E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workbookViewId="0">
      <selection activeCell="F16" sqref="F16:F22"/>
    </sheetView>
  </sheetViews>
  <sheetFormatPr baseColWidth="10" defaultColWidth="8.5703125" defaultRowHeight="13" x14ac:dyDescent="0"/>
  <cols>
    <col min="1" max="2" width="2.5703125" style="34" customWidth="1"/>
    <col min="3" max="3" width="37.42578125" style="34" customWidth="1"/>
    <col min="4" max="4" width="9.5703125" style="34" customWidth="1"/>
    <col min="5" max="5" width="0.85546875" style="34" customWidth="1"/>
    <col min="6" max="6" width="9.5703125" style="34" customWidth="1"/>
    <col min="7" max="16384" width="8.5703125" style="34"/>
  </cols>
  <sheetData>
    <row r="1" spans="1:6">
      <c r="A1" s="153" t="s">
        <v>56</v>
      </c>
      <c r="B1" s="153"/>
      <c r="C1" s="153"/>
      <c r="D1" s="153"/>
      <c r="E1" s="153"/>
      <c r="F1" s="153"/>
    </row>
    <row r="2" spans="1:6">
      <c r="A2" s="153" t="s">
        <v>164</v>
      </c>
      <c r="B2" s="153"/>
      <c r="C2" s="153"/>
      <c r="D2" s="153"/>
      <c r="E2" s="153"/>
      <c r="F2" s="153"/>
    </row>
    <row r="3" spans="1:6">
      <c r="A3" s="153" t="s">
        <v>9</v>
      </c>
      <c r="B3" s="153"/>
      <c r="C3" s="153"/>
      <c r="D3" s="153"/>
      <c r="E3" s="153"/>
      <c r="F3" s="153"/>
    </row>
    <row r="4" spans="1:6">
      <c r="A4" s="153" t="s">
        <v>89</v>
      </c>
      <c r="B4" s="153"/>
      <c r="C4" s="153"/>
      <c r="D4" s="153"/>
      <c r="E4" s="153"/>
      <c r="F4" s="153"/>
    </row>
    <row r="5" spans="1:6">
      <c r="A5" s="32"/>
      <c r="B5" s="32"/>
      <c r="C5" s="32"/>
      <c r="D5" s="32"/>
      <c r="E5" s="32"/>
      <c r="F5" s="32"/>
    </row>
    <row r="6" spans="1:6">
      <c r="A6" s="153" t="s">
        <v>90</v>
      </c>
      <c r="B6" s="153"/>
      <c r="C6" s="153"/>
      <c r="D6" s="153"/>
      <c r="E6" s="153"/>
      <c r="F6" s="153"/>
    </row>
    <row r="7" spans="1:6">
      <c r="A7" s="32" t="s">
        <v>91</v>
      </c>
      <c r="B7" s="32"/>
      <c r="C7" s="32"/>
      <c r="D7" s="32"/>
      <c r="E7" s="32"/>
      <c r="F7" s="49"/>
    </row>
    <row r="8" spans="1:6">
      <c r="A8" s="32" t="s">
        <v>16</v>
      </c>
      <c r="B8" s="32"/>
      <c r="C8" s="32"/>
      <c r="D8" s="32"/>
      <c r="E8" s="32"/>
      <c r="F8" s="43"/>
    </row>
    <row r="9" spans="1:6">
      <c r="A9" s="32" t="s">
        <v>93</v>
      </c>
      <c r="B9" s="32"/>
      <c r="C9" s="32"/>
      <c r="D9" s="49"/>
      <c r="E9" s="43"/>
      <c r="F9" s="43"/>
    </row>
    <row r="10" spans="1:6">
      <c r="A10" s="32" t="s">
        <v>94</v>
      </c>
      <c r="B10" s="32"/>
      <c r="C10" s="32"/>
      <c r="D10" s="43"/>
      <c r="E10" s="43"/>
      <c r="F10" s="43"/>
    </row>
    <row r="11" spans="1:6">
      <c r="A11" s="32" t="s">
        <v>96</v>
      </c>
      <c r="B11" s="32"/>
      <c r="C11" s="32"/>
      <c r="D11" s="46"/>
      <c r="E11" s="43"/>
      <c r="F11" s="43"/>
    </row>
    <row r="12" spans="1:6">
      <c r="A12" s="32" t="s">
        <v>97</v>
      </c>
      <c r="B12" s="32"/>
      <c r="C12" s="32"/>
      <c r="D12" s="43"/>
      <c r="E12" s="43"/>
      <c r="F12" s="43"/>
    </row>
    <row r="13" spans="1:6" ht="14" thickBot="1">
      <c r="A13" s="32" t="s">
        <v>100</v>
      </c>
      <c r="B13" s="32"/>
      <c r="C13" s="32"/>
      <c r="D13" s="42"/>
      <c r="E13" s="32"/>
      <c r="F13" s="79"/>
    </row>
    <row r="14" spans="1:6" ht="14" thickTop="1">
      <c r="A14" s="32"/>
      <c r="B14" s="32"/>
      <c r="C14" s="32"/>
      <c r="D14" s="32"/>
      <c r="E14" s="32"/>
      <c r="F14" s="32"/>
    </row>
    <row r="15" spans="1:6">
      <c r="A15" s="153" t="s">
        <v>101</v>
      </c>
      <c r="B15" s="153"/>
      <c r="C15" s="153"/>
      <c r="D15" s="153"/>
      <c r="E15" s="153"/>
      <c r="F15" s="153"/>
    </row>
    <row r="16" spans="1:6">
      <c r="A16" s="32" t="s">
        <v>102</v>
      </c>
      <c r="B16" s="32"/>
      <c r="C16" s="32"/>
      <c r="D16" s="32"/>
      <c r="E16" s="32"/>
      <c r="F16" s="49"/>
    </row>
    <row r="17" spans="1:6">
      <c r="A17" s="32"/>
      <c r="B17" s="32"/>
      <c r="C17" s="32"/>
      <c r="D17" s="32"/>
      <c r="E17" s="32"/>
      <c r="F17" s="32"/>
    </row>
    <row r="18" spans="1:6">
      <c r="A18" s="32" t="s">
        <v>168</v>
      </c>
      <c r="B18" s="32"/>
      <c r="C18" s="32"/>
      <c r="F18" s="43"/>
    </row>
    <row r="19" spans="1:6">
      <c r="A19" s="32"/>
      <c r="B19" s="32"/>
      <c r="C19" s="32"/>
      <c r="F19" s="43"/>
    </row>
    <row r="20" spans="1:6">
      <c r="A20" s="33" t="s">
        <v>169</v>
      </c>
      <c r="B20" s="33"/>
      <c r="C20" s="33"/>
      <c r="F20" s="43"/>
    </row>
    <row r="21" spans="1:6">
      <c r="B21" s="33"/>
      <c r="C21" s="33"/>
      <c r="D21" s="41"/>
      <c r="F21" s="43"/>
    </row>
    <row r="22" spans="1:6" ht="14" thickBot="1">
      <c r="A22" s="32" t="s">
        <v>170</v>
      </c>
      <c r="B22" s="32"/>
      <c r="C22" s="32"/>
      <c r="D22" s="43"/>
      <c r="E22" s="43"/>
      <c r="F22" s="45"/>
    </row>
    <row r="23" spans="1:6" ht="14" thickTop="1">
      <c r="B23" s="32"/>
      <c r="C23" s="32"/>
      <c r="D23" s="32"/>
      <c r="E23" s="32"/>
    </row>
    <row r="24" spans="1:6">
      <c r="A24" s="32"/>
      <c r="B24" s="32"/>
      <c r="C24" s="32"/>
      <c r="D24" s="32"/>
      <c r="E24" s="32"/>
      <c r="F24" s="32"/>
    </row>
    <row r="25" spans="1:6">
      <c r="A25" s="33"/>
      <c r="B25" s="33"/>
      <c r="C25" s="33"/>
    </row>
    <row r="26" spans="1:6">
      <c r="A26" s="33"/>
      <c r="B26" s="33"/>
      <c r="C26" s="33"/>
    </row>
    <row r="27" spans="1:6">
      <c r="A27" s="33"/>
      <c r="B27" s="33"/>
      <c r="C27" s="33"/>
    </row>
    <row r="28" spans="1:6">
      <c r="A28" s="33"/>
      <c r="B28" s="33"/>
      <c r="C28" s="33"/>
    </row>
  </sheetData>
  <mergeCells count="6">
    <mergeCell ref="A15:F15"/>
    <mergeCell ref="A6:F6"/>
    <mergeCell ref="A1:F1"/>
    <mergeCell ref="A2:F2"/>
    <mergeCell ref="A3:F3"/>
    <mergeCell ref="A4:F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X52"/>
  <sheetViews>
    <sheetView workbookViewId="0">
      <pane xSplit="2" ySplit="8" topLeftCell="C9" activePane="bottomRight" state="frozen"/>
      <selection pane="topRight" activeCell="C1" sqref="C1"/>
      <selection pane="bottomLeft" activeCell="A9" sqref="A9"/>
      <selection pane="bottomRight" activeCell="B31" sqref="B31"/>
    </sheetView>
  </sheetViews>
  <sheetFormatPr baseColWidth="10" defaultColWidth="9.5703125" defaultRowHeight="13" x14ac:dyDescent="0"/>
  <cols>
    <col min="1" max="1" width="3.5703125" style="3" customWidth="1"/>
    <col min="2" max="2" width="38.5703125" style="3" customWidth="1"/>
    <col min="3" max="3" width="9.5703125" style="3" customWidth="1"/>
    <col min="4" max="4" width="1.5703125" style="3" customWidth="1"/>
    <col min="5" max="5" width="9.5703125" style="4" customWidth="1"/>
    <col min="6" max="6" width="1.5703125" style="4" customWidth="1"/>
    <col min="7" max="7" width="4.5703125" style="4" customWidth="1"/>
    <col min="8" max="8" width="9.5703125" style="4" customWidth="1"/>
    <col min="9" max="9" width="1.5703125" style="4" customWidth="1"/>
    <col min="10" max="10" width="9.5703125" style="4" customWidth="1"/>
    <col min="11" max="11" width="4.5703125" style="4" customWidth="1"/>
    <col min="12" max="12" width="1.5703125" style="4" customWidth="1"/>
    <col min="13" max="13" width="0" style="4" hidden="1" customWidth="1"/>
    <col min="14" max="14" width="9.5703125" style="4" customWidth="1"/>
    <col min="15" max="15" width="1.5703125" style="4" customWidth="1"/>
    <col min="16" max="16" width="9.5703125" style="4" customWidth="1"/>
    <col min="17" max="17" width="1.5703125" style="4" customWidth="1"/>
    <col min="18" max="18" width="9.5703125" style="4" hidden="1" customWidth="1"/>
    <col min="19" max="19" width="2.5703125" style="3" hidden="1" customWidth="1"/>
    <col min="20" max="20" width="9.5703125" style="3" hidden="1" customWidth="1"/>
    <col min="21" max="21" width="1.5703125" style="3" hidden="1" customWidth="1"/>
    <col min="22" max="22" width="9.5703125" style="3" customWidth="1"/>
    <col min="23" max="23" width="2.5703125" style="3" customWidth="1"/>
    <col min="24" max="24" width="9.5703125" style="3" customWidth="1"/>
    <col min="25" max="16384" width="9.5703125" style="3"/>
  </cols>
  <sheetData>
    <row r="1" spans="1:24">
      <c r="A1" s="1" t="s">
        <v>0</v>
      </c>
      <c r="B1" s="1"/>
      <c r="C1" s="1"/>
      <c r="D1" s="1"/>
      <c r="E1" s="2"/>
      <c r="F1" s="2"/>
      <c r="G1" s="2"/>
      <c r="H1" s="2"/>
      <c r="I1" s="2"/>
      <c r="J1" s="2"/>
      <c r="K1" s="2"/>
      <c r="L1" s="2"/>
      <c r="M1" s="2"/>
      <c r="N1" s="2"/>
      <c r="O1" s="2"/>
      <c r="P1" s="2"/>
      <c r="Q1" s="2"/>
      <c r="R1" s="2"/>
      <c r="S1" s="1"/>
      <c r="T1" s="1"/>
      <c r="U1" s="1"/>
      <c r="V1" s="1"/>
      <c r="W1" s="1"/>
      <c r="X1" s="1"/>
    </row>
    <row r="2" spans="1:24">
      <c r="A2" s="1" t="s">
        <v>171</v>
      </c>
      <c r="B2" s="1"/>
      <c r="C2" s="1"/>
      <c r="D2" s="1"/>
      <c r="E2" s="2"/>
      <c r="F2" s="2"/>
      <c r="G2" s="2"/>
      <c r="H2" s="2"/>
      <c r="I2" s="2"/>
      <c r="J2" s="2"/>
      <c r="K2" s="2"/>
      <c r="L2" s="2"/>
      <c r="M2" s="2"/>
      <c r="N2" s="2"/>
      <c r="O2" s="2"/>
      <c r="P2" s="2"/>
      <c r="Q2" s="2"/>
      <c r="R2" s="2"/>
      <c r="S2" s="1"/>
      <c r="T2" s="1"/>
      <c r="U2" s="1"/>
      <c r="V2" s="1"/>
      <c r="W2" s="1"/>
      <c r="X2" s="1"/>
    </row>
    <row r="3" spans="1:24">
      <c r="A3" s="1" t="s">
        <v>2</v>
      </c>
      <c r="B3" s="1"/>
      <c r="C3" s="1"/>
      <c r="D3" s="1"/>
      <c r="E3" s="2"/>
      <c r="F3" s="2"/>
      <c r="G3" s="2"/>
      <c r="H3" s="2"/>
      <c r="I3" s="2"/>
      <c r="J3" s="2"/>
      <c r="K3" s="2"/>
      <c r="L3" s="2"/>
      <c r="M3" s="2"/>
      <c r="N3" s="2"/>
      <c r="O3" s="2"/>
      <c r="P3" s="2"/>
      <c r="Q3" s="2"/>
      <c r="R3" s="2"/>
      <c r="S3" s="1"/>
      <c r="T3" s="1"/>
      <c r="U3" s="1"/>
      <c r="V3" s="1"/>
      <c r="W3" s="1"/>
      <c r="X3" s="1"/>
    </row>
    <row r="4" spans="1:24">
      <c r="A4" s="3" t="s">
        <v>120</v>
      </c>
      <c r="C4" s="3">
        <f>IF(C49&gt;E49,0,+E49-C49)</f>
        <v>0</v>
      </c>
      <c r="E4" s="3">
        <f>IF(E49&gt;C49,0,+C49-E49)</f>
        <v>0</v>
      </c>
      <c r="F4" s="3"/>
      <c r="G4" s="3"/>
      <c r="H4" s="3">
        <f>IF(H49&gt;J49,0,+J49-H49)</f>
        <v>0</v>
      </c>
      <c r="I4" s="3"/>
      <c r="J4" s="110">
        <f>IF(J49&gt;H49,0,+H49-J49)</f>
        <v>0</v>
      </c>
      <c r="K4" s="3"/>
      <c r="L4" s="3"/>
      <c r="M4" s="3"/>
      <c r="N4" s="3">
        <f>IF(N49&gt;P49,0,+P49-N49)</f>
        <v>0</v>
      </c>
      <c r="O4" s="3"/>
      <c r="P4" s="110">
        <f>IF(P49&gt;N49,0,+N49-P49)</f>
        <v>0</v>
      </c>
      <c r="Q4" s="3"/>
      <c r="R4" s="3">
        <f>IF(R51&gt;T51,0,+T51-R51)</f>
        <v>0</v>
      </c>
      <c r="T4" s="3">
        <f>IF(T51&gt;R51,0,+R51-T51)</f>
        <v>0</v>
      </c>
      <c r="V4" s="3">
        <f>IF(V51&gt;X51,0,+X51-V51)</f>
        <v>0</v>
      </c>
      <c r="X4" s="3">
        <f>IF(X51&gt;V51,0,+V51-X51)</f>
        <v>0</v>
      </c>
    </row>
    <row r="5" spans="1:24" ht="5" customHeight="1"/>
    <row r="6" spans="1:24">
      <c r="C6" s="1" t="s">
        <v>4</v>
      </c>
      <c r="D6" s="1"/>
      <c r="E6" s="2"/>
      <c r="N6" s="2" t="s">
        <v>4</v>
      </c>
      <c r="O6" s="2"/>
      <c r="P6" s="2"/>
      <c r="V6" s="2" t="s">
        <v>172</v>
      </c>
      <c r="W6" s="1"/>
      <c r="X6" s="1"/>
    </row>
    <row r="7" spans="1:24">
      <c r="C7" s="1" t="s">
        <v>5</v>
      </c>
      <c r="D7" s="1"/>
      <c r="E7" s="2"/>
      <c r="G7" s="2" t="s">
        <v>6</v>
      </c>
      <c r="H7" s="2"/>
      <c r="I7" s="2"/>
      <c r="J7" s="2"/>
      <c r="K7" s="2"/>
      <c r="N7" s="2" t="s">
        <v>7</v>
      </c>
      <c r="O7" s="2"/>
      <c r="P7" s="2"/>
      <c r="R7" s="2" t="s">
        <v>172</v>
      </c>
      <c r="S7" s="1"/>
      <c r="T7" s="1"/>
      <c r="V7" s="1" t="s">
        <v>173</v>
      </c>
      <c r="W7" s="1"/>
      <c r="X7" s="1"/>
    </row>
    <row r="8" spans="1:24">
      <c r="A8" s="5"/>
      <c r="B8" s="17" t="s">
        <v>10</v>
      </c>
      <c r="C8" s="6" t="s">
        <v>11</v>
      </c>
      <c r="D8" s="7"/>
      <c r="E8" s="8" t="s">
        <v>12</v>
      </c>
      <c r="G8" s="8" t="s">
        <v>13</v>
      </c>
      <c r="H8" s="9" t="s">
        <v>11</v>
      </c>
      <c r="I8" s="10"/>
      <c r="J8" s="8" t="s">
        <v>12</v>
      </c>
      <c r="K8" s="8" t="s">
        <v>13</v>
      </c>
      <c r="N8" s="8" t="s">
        <v>11</v>
      </c>
      <c r="O8" s="10"/>
      <c r="P8" s="8" t="s">
        <v>12</v>
      </c>
      <c r="R8" s="8" t="s">
        <v>11</v>
      </c>
      <c r="S8" s="7">
        <v>2</v>
      </c>
      <c r="T8" s="11" t="s">
        <v>12</v>
      </c>
      <c r="V8" s="6" t="s">
        <v>11</v>
      </c>
      <c r="W8" s="7">
        <v>1</v>
      </c>
      <c r="X8" s="6" t="s">
        <v>12</v>
      </c>
    </row>
    <row r="9" spans="1:24">
      <c r="A9" s="3">
        <v>1</v>
      </c>
      <c r="B9" s="3" t="s">
        <v>174</v>
      </c>
      <c r="C9" s="7">
        <v>800000</v>
      </c>
      <c r="E9" s="10"/>
      <c r="G9" s="21"/>
      <c r="H9" s="10">
        <v>110000</v>
      </c>
      <c r="I9" s="141"/>
      <c r="J9" s="10"/>
      <c r="K9" s="8"/>
      <c r="M9" s="4">
        <f>C9-E9+SUM(H9:H11)-SUM(J9:J11)</f>
        <v>910000</v>
      </c>
      <c r="N9" s="10">
        <f>IF(M9&gt;0,+M9,0)</f>
        <v>910000</v>
      </c>
      <c r="P9" s="10">
        <f>IF(M9&lt;0,-M9,0)</f>
        <v>0</v>
      </c>
      <c r="R9" s="10">
        <f>IF($A9=$S$8,+N9,0)</f>
        <v>0</v>
      </c>
      <c r="T9" s="7">
        <f>IF($A9=$S$8,+P9,0)</f>
        <v>0</v>
      </c>
      <c r="V9" s="7">
        <f>IF($A9=$W$8,+N9,0)</f>
        <v>910000</v>
      </c>
      <c r="X9" s="7">
        <f>IF($A9=$W$8,+P9,0)</f>
        <v>0</v>
      </c>
    </row>
    <row r="10" spans="1:24">
      <c r="G10" s="141"/>
      <c r="I10" s="141"/>
      <c r="K10" s="141"/>
    </row>
    <row r="11" spans="1:24" ht="5" customHeight="1">
      <c r="B11" s="18"/>
      <c r="C11" s="18"/>
      <c r="D11" s="18"/>
      <c r="E11" s="18"/>
      <c r="G11" s="141"/>
      <c r="I11" s="141"/>
      <c r="K11" s="141"/>
    </row>
    <row r="12" spans="1:24">
      <c r="A12" s="3">
        <v>1</v>
      </c>
      <c r="B12" s="3" t="s">
        <v>175</v>
      </c>
      <c r="C12" s="3">
        <v>5300000</v>
      </c>
      <c r="G12" s="141"/>
      <c r="I12" s="141"/>
      <c r="K12" s="141"/>
      <c r="M12" s="4">
        <f>C12-E12+SUM(H12:H13)-SUM(J12:J13)</f>
        <v>5300000</v>
      </c>
      <c r="N12" s="4">
        <f>IF(M12&gt;0,+M12,0)</f>
        <v>5300000</v>
      </c>
      <c r="P12" s="4">
        <f>IF(M12&lt;0,-M12,0)</f>
        <v>0</v>
      </c>
      <c r="R12" s="4">
        <f>IF($A12=$S$8,+N12,0)</f>
        <v>0</v>
      </c>
      <c r="T12" s="3">
        <f>IF($A12=$S$8,+P12,0)</f>
        <v>0</v>
      </c>
      <c r="V12" s="3">
        <f>IF($A12=$W$8,+N12,0)</f>
        <v>5300000</v>
      </c>
      <c r="X12" s="3">
        <f>IF($A12=$W$8,+P12,0)</f>
        <v>0</v>
      </c>
    </row>
    <row r="13" spans="1:24" ht="5" customHeight="1">
      <c r="B13" s="18"/>
      <c r="C13" s="18"/>
      <c r="D13" s="18"/>
      <c r="E13" s="18"/>
      <c r="G13" s="141"/>
      <c r="I13" s="141"/>
      <c r="K13" s="141"/>
    </row>
    <row r="14" spans="1:24">
      <c r="A14" s="3">
        <v>1</v>
      </c>
      <c r="B14" s="3" t="s">
        <v>176</v>
      </c>
      <c r="E14" s="4">
        <v>2200000</v>
      </c>
      <c r="G14" s="141"/>
      <c r="I14" s="141"/>
      <c r="J14" s="4">
        <v>245000</v>
      </c>
      <c r="K14" s="141"/>
      <c r="M14" s="4">
        <f>C14-E14+SUM(H14:H15)-SUM(J14:J15)</f>
        <v>-2445000</v>
      </c>
      <c r="N14" s="4">
        <f>IF(M14&gt;0,+M14,0)</f>
        <v>0</v>
      </c>
      <c r="P14" s="4">
        <f>IF(M14&lt;0,-M14,0)</f>
        <v>2445000</v>
      </c>
      <c r="R14" s="4">
        <f>IF($A14=$S$8,+N14,0)</f>
        <v>0</v>
      </c>
      <c r="T14" s="3">
        <f>IF($A14=$S$8,+P14,0)</f>
        <v>0</v>
      </c>
      <c r="V14" s="3">
        <f>IF($A14=$W$8,+N14,0)</f>
        <v>0</v>
      </c>
      <c r="X14" s="3">
        <f>IF($A14=$W$8,+P14,0)</f>
        <v>2445000</v>
      </c>
    </row>
    <row r="15" spans="1:24" ht="5" customHeight="1">
      <c r="B15" s="18"/>
      <c r="C15" s="18"/>
      <c r="D15" s="18"/>
      <c r="E15" s="18"/>
      <c r="G15" s="141"/>
      <c r="I15" s="141"/>
      <c r="K15" s="141"/>
    </row>
    <row r="16" spans="1:24">
      <c r="A16" s="3">
        <v>1</v>
      </c>
      <c r="B16" s="3" t="s">
        <v>177</v>
      </c>
      <c r="C16" s="3">
        <v>1750000</v>
      </c>
      <c r="G16" s="20"/>
      <c r="I16" s="141"/>
      <c r="J16" s="4">
        <v>300000</v>
      </c>
      <c r="K16" s="22"/>
      <c r="M16" s="4">
        <f>C16-E16+SUM(H16:H18)-SUM(J16:J18)</f>
        <v>1450000</v>
      </c>
      <c r="N16" s="4">
        <f>IF(M16&gt;0,+M16,0)</f>
        <v>1450000</v>
      </c>
      <c r="P16" s="4">
        <f>IF(M16&lt;0,-M16,0)</f>
        <v>0</v>
      </c>
      <c r="R16" s="4">
        <f>IF($A16=$S$8,+N16,0)</f>
        <v>0</v>
      </c>
      <c r="T16" s="3">
        <f>IF($A16=$S$8,+P16,0)</f>
        <v>0</v>
      </c>
      <c r="V16" s="3">
        <f>IF($A16=$W$8,+N16,0)</f>
        <v>1450000</v>
      </c>
      <c r="X16" s="3">
        <f>IF($A16=$W$8,+P16,0)</f>
        <v>0</v>
      </c>
    </row>
    <row r="17" spans="1:24">
      <c r="G17" s="20"/>
      <c r="I17" s="141"/>
      <c r="K17" s="20"/>
    </row>
    <row r="18" spans="1:24" ht="5" customHeight="1">
      <c r="B18" s="18"/>
      <c r="C18" s="18"/>
      <c r="D18" s="18"/>
      <c r="E18" s="18"/>
      <c r="G18" s="141"/>
      <c r="I18" s="141"/>
      <c r="K18" s="141"/>
    </row>
    <row r="19" spans="1:24">
      <c r="A19" s="3">
        <v>1</v>
      </c>
      <c r="B19" s="3" t="s">
        <v>178</v>
      </c>
      <c r="E19" s="4">
        <v>550000</v>
      </c>
      <c r="G19" s="20"/>
      <c r="H19" s="4">
        <v>187000</v>
      </c>
      <c r="I19" s="141"/>
      <c r="J19" s="4">
        <v>222000</v>
      </c>
      <c r="K19" s="141"/>
      <c r="M19" s="4">
        <f>C19-E19+SUM(H19:H20)-SUM(J19:J20)</f>
        <v>-585000</v>
      </c>
      <c r="N19" s="4">
        <f>IF(M19&gt;0,+M19,0)</f>
        <v>0</v>
      </c>
      <c r="P19" s="4">
        <f>IF(M19&lt;0,-M19,0)</f>
        <v>585000</v>
      </c>
      <c r="R19" s="4">
        <f>IF($A19=$S$8,+N19,0)</f>
        <v>0</v>
      </c>
      <c r="T19" s="3">
        <f>IF($A19=$S$8,+P19,0)</f>
        <v>0</v>
      </c>
      <c r="V19" s="3">
        <f>IF($A19=$W$8,+N19,0)</f>
        <v>0</v>
      </c>
      <c r="X19" s="3">
        <f>IF($A19=$W$8,+P19,0)</f>
        <v>585000</v>
      </c>
    </row>
    <row r="20" spans="1:24" ht="5" customHeight="1">
      <c r="B20" s="18"/>
      <c r="C20" s="18"/>
      <c r="D20" s="18"/>
      <c r="E20" s="18"/>
      <c r="G20" s="141"/>
      <c r="I20" s="141"/>
      <c r="K20" s="141"/>
    </row>
    <row r="21" spans="1:24">
      <c r="A21" s="3">
        <v>1</v>
      </c>
      <c r="B21" s="3" t="s">
        <v>179</v>
      </c>
      <c r="C21" s="3">
        <v>13000000</v>
      </c>
      <c r="G21" s="141"/>
      <c r="I21" s="141"/>
      <c r="K21" s="141"/>
      <c r="M21" s="4">
        <f>C21-E21+SUM(H21:H22)-SUM(J21:J22)</f>
        <v>13000000</v>
      </c>
      <c r="N21" s="4">
        <f>IF(M21&gt;0,+M21,0)</f>
        <v>13000000</v>
      </c>
      <c r="P21" s="4">
        <f>IF(M21&lt;0,-M21,0)</f>
        <v>0</v>
      </c>
      <c r="R21" s="4">
        <f>IF($A21=$S$8,+N21,0)</f>
        <v>0</v>
      </c>
      <c r="T21" s="3">
        <f>IF($A21=$S$8,+P21,0)</f>
        <v>0</v>
      </c>
      <c r="V21" s="3">
        <f>IF($A21=$W$8,+N21,0)</f>
        <v>13000000</v>
      </c>
      <c r="X21" s="3">
        <f>IF($A21=$W$8,+P21,0)</f>
        <v>0</v>
      </c>
    </row>
    <row r="22" spans="1:24" ht="5" customHeight="1">
      <c r="B22" s="18"/>
      <c r="C22" s="18"/>
      <c r="D22" s="18"/>
      <c r="E22" s="18"/>
      <c r="G22" s="141"/>
      <c r="I22" s="141"/>
      <c r="K22" s="141"/>
    </row>
    <row r="23" spans="1:24">
      <c r="A23" s="3">
        <v>1</v>
      </c>
      <c r="B23" s="3" t="s">
        <v>180</v>
      </c>
      <c r="E23" s="4">
        <v>6000000</v>
      </c>
      <c r="G23" s="141"/>
      <c r="I23" s="141"/>
      <c r="J23" s="4">
        <v>520000</v>
      </c>
      <c r="K23" s="141"/>
      <c r="M23" s="4">
        <f>C23-E23+SUM(H23:H24)-SUM(J23:J24)</f>
        <v>-6520000</v>
      </c>
      <c r="N23" s="4">
        <f>IF(M23&gt;0,+M23,0)</f>
        <v>0</v>
      </c>
      <c r="P23" s="4">
        <f>IF(M23&lt;0,-M23,0)</f>
        <v>6520000</v>
      </c>
      <c r="R23" s="4">
        <f>IF($A23=$S$8,+N23,0)</f>
        <v>0</v>
      </c>
      <c r="T23" s="3">
        <f>IF($A23=$S$8,+P23,0)</f>
        <v>0</v>
      </c>
      <c r="V23" s="3">
        <f>IF($A23=$W$8,+N23,0)</f>
        <v>0</v>
      </c>
      <c r="X23" s="3">
        <f>IF($A23=$W$8,+P23,0)</f>
        <v>6520000</v>
      </c>
    </row>
    <row r="24" spans="1:24" ht="5" customHeight="1">
      <c r="B24" s="18"/>
      <c r="C24" s="18"/>
      <c r="D24" s="18"/>
      <c r="E24" s="18"/>
      <c r="G24" s="141"/>
      <c r="I24" s="141"/>
      <c r="K24" s="141"/>
    </row>
    <row r="25" spans="1:24">
      <c r="A25" s="3">
        <v>1</v>
      </c>
      <c r="B25" s="3" t="s">
        <v>181</v>
      </c>
      <c r="C25" s="3">
        <v>1700000</v>
      </c>
      <c r="G25" s="20"/>
      <c r="H25" s="4">
        <v>1200000</v>
      </c>
      <c r="I25" s="141"/>
      <c r="K25" s="20"/>
      <c r="M25" s="4">
        <f>C25-E25+SUM(H25:H27)-SUM(J25:J27)</f>
        <v>2900000</v>
      </c>
      <c r="N25" s="4">
        <f>IF(M25&gt;0,+M25,0)</f>
        <v>2900000</v>
      </c>
      <c r="P25" s="4">
        <f>IF(M25&lt;0,-M25,0)</f>
        <v>0</v>
      </c>
      <c r="R25" s="4">
        <f>IF($A25=$S$8,+N25,0)</f>
        <v>0</v>
      </c>
      <c r="T25" s="3">
        <f>IF($A25=$S$8,+P25,0)</f>
        <v>0</v>
      </c>
      <c r="V25" s="3">
        <f>IF($A25=$W$8,+N25,0)</f>
        <v>2900000</v>
      </c>
      <c r="X25" s="3">
        <f>IF($A25=$W$8,+P25,0)</f>
        <v>0</v>
      </c>
    </row>
    <row r="26" spans="1:24">
      <c r="G26" s="20"/>
      <c r="I26" s="141"/>
      <c r="K26" s="141"/>
    </row>
    <row r="27" spans="1:24" ht="5" customHeight="1">
      <c r="B27" s="18"/>
      <c r="C27" s="18"/>
      <c r="D27" s="18"/>
      <c r="E27" s="18"/>
      <c r="G27" s="141"/>
      <c r="I27" s="141"/>
      <c r="K27" s="141"/>
    </row>
    <row r="28" spans="1:24">
      <c r="A28" s="3">
        <v>1</v>
      </c>
      <c r="B28" s="3" t="s">
        <v>182</v>
      </c>
      <c r="E28" s="4">
        <v>9000000</v>
      </c>
      <c r="G28" s="20"/>
      <c r="H28" s="4">
        <v>500000</v>
      </c>
      <c r="I28" s="141"/>
      <c r="J28" s="4">
        <v>1500000</v>
      </c>
      <c r="K28" s="20"/>
      <c r="L28" s="107"/>
      <c r="M28" s="4">
        <f>C28-E28+SUM(H28:H30)-SUM(J28:J30)</f>
        <v>-10000000</v>
      </c>
      <c r="N28" s="4">
        <f>IF(M28&gt;0,+M28,0)</f>
        <v>0</v>
      </c>
      <c r="P28" s="4">
        <f>IF(M28&lt;0,-M28,0)</f>
        <v>10000000</v>
      </c>
      <c r="R28" s="4">
        <f>IF($A28=$S$8,+N28,0)</f>
        <v>0</v>
      </c>
      <c r="T28" s="3">
        <f>IF($A28=$S$8,+P28,0)</f>
        <v>0</v>
      </c>
      <c r="V28" s="3">
        <f>IF($A28=$W$8,+N28,0)</f>
        <v>0</v>
      </c>
      <c r="X28" s="3">
        <f>IF($A28=$W$8,+P28,0)</f>
        <v>10000000</v>
      </c>
    </row>
    <row r="29" spans="1:24">
      <c r="G29" s="22"/>
      <c r="I29" s="141"/>
      <c r="K29" s="141"/>
    </row>
    <row r="30" spans="1:24" ht="5" customHeight="1">
      <c r="B30" s="18"/>
      <c r="C30" s="18"/>
      <c r="D30" s="18"/>
      <c r="E30" s="18"/>
      <c r="G30" s="141"/>
      <c r="I30" s="141"/>
      <c r="K30" s="141"/>
    </row>
    <row r="31" spans="1:24">
      <c r="A31" s="3">
        <v>1</v>
      </c>
      <c r="B31" s="3" t="s">
        <v>183</v>
      </c>
      <c r="E31" s="4">
        <v>180000</v>
      </c>
      <c r="G31" s="20"/>
      <c r="H31" s="4">
        <v>3330</v>
      </c>
      <c r="I31" s="141"/>
      <c r="J31" s="4">
        <v>50000</v>
      </c>
      <c r="K31" s="20"/>
      <c r="M31" s="4">
        <f>C31-E31+SUM(H31:H34)-SUM(J31:J34)</f>
        <v>-226670</v>
      </c>
      <c r="N31" s="4">
        <f>IF(M31&gt;0,+M31,0)</f>
        <v>0</v>
      </c>
      <c r="P31" s="4">
        <f>IF(M31&lt;0,-M31,0)</f>
        <v>226670</v>
      </c>
      <c r="R31" s="4">
        <f>IF($A31=$S$8,+N31,0)</f>
        <v>0</v>
      </c>
      <c r="T31" s="3">
        <f>IF($A31=$S$8,+P31,0)</f>
        <v>0</v>
      </c>
      <c r="V31" s="3">
        <f>IF($A31=$W$8,+N31,0)</f>
        <v>0</v>
      </c>
      <c r="X31" s="3">
        <f>IF($A31=$W$8,+P31,0)</f>
        <v>226670</v>
      </c>
    </row>
    <row r="32" spans="1:24">
      <c r="G32" s="20"/>
      <c r="I32" s="141"/>
    </row>
    <row r="33" spans="1:24">
      <c r="G33" s="20"/>
      <c r="I33" s="141"/>
    </row>
    <row r="34" spans="1:24" ht="5" customHeight="1">
      <c r="B34" s="18"/>
      <c r="C34" s="18"/>
      <c r="D34" s="18"/>
      <c r="E34" s="18"/>
      <c r="G34" s="141"/>
      <c r="I34" s="141"/>
      <c r="K34" s="141"/>
    </row>
    <row r="35" spans="1:24">
      <c r="A35" s="3">
        <v>1</v>
      </c>
      <c r="B35" s="3" t="s">
        <v>184</v>
      </c>
      <c r="E35" s="4">
        <v>700000</v>
      </c>
      <c r="G35" s="141"/>
      <c r="I35" s="141"/>
      <c r="K35" s="20"/>
      <c r="M35" s="4">
        <f>C35-E35+SUM(H35:H36)-SUM(J35:J36)</f>
        <v>-700000</v>
      </c>
      <c r="N35" s="4">
        <f>IF(M35&gt;0,+M35,0)</f>
        <v>0</v>
      </c>
      <c r="P35" s="4">
        <f>IF(M35&lt;0,-M35,0)</f>
        <v>700000</v>
      </c>
      <c r="R35" s="4">
        <f>IF($A35=$S$8,+N35,0)</f>
        <v>0</v>
      </c>
      <c r="T35" s="3">
        <f>IF($A35=$S$8,+P35,0)</f>
        <v>0</v>
      </c>
      <c r="V35" s="3">
        <f>IF($A35=$W$8,+N35,0)</f>
        <v>0</v>
      </c>
      <c r="X35" s="3">
        <f>IF($A35=$W$8,+P35,0)</f>
        <v>700000</v>
      </c>
    </row>
    <row r="36" spans="1:24" ht="5" customHeight="1">
      <c r="B36" s="18"/>
      <c r="C36" s="18"/>
      <c r="D36" s="18"/>
      <c r="E36" s="18"/>
      <c r="G36" s="141"/>
      <c r="I36" s="141"/>
      <c r="K36" s="141"/>
    </row>
    <row r="37" spans="1:24">
      <c r="A37" s="3">
        <v>1</v>
      </c>
      <c r="B37" s="3" t="s">
        <v>185</v>
      </c>
      <c r="E37" s="4">
        <v>220000</v>
      </c>
      <c r="G37" s="141"/>
      <c r="I37" s="141"/>
      <c r="J37" s="4">
        <v>20000</v>
      </c>
      <c r="K37" s="141"/>
      <c r="M37" s="4">
        <f>C37-E37+SUM(H37:H38)-SUM(J37:J38)</f>
        <v>-240000</v>
      </c>
      <c r="N37" s="4">
        <f>IF(M37&gt;0,+M37,0)</f>
        <v>0</v>
      </c>
      <c r="P37" s="4">
        <f>IF(M37&lt;0,-M37,0)</f>
        <v>240000</v>
      </c>
      <c r="R37" s="4">
        <f>IF($A37=$S$8,+N37,0)</f>
        <v>0</v>
      </c>
      <c r="T37" s="3">
        <f>IF($A37=$S$8,+P37,0)</f>
        <v>0</v>
      </c>
      <c r="V37" s="3">
        <f>IF($A37=$W$8,+N37,0)</f>
        <v>0</v>
      </c>
      <c r="X37" s="3">
        <f>IF($A37=$W$8,+P37,0)</f>
        <v>240000</v>
      </c>
    </row>
    <row r="38" spans="1:24" ht="5" customHeight="1">
      <c r="B38" s="18"/>
      <c r="C38" s="18"/>
      <c r="D38" s="18"/>
      <c r="E38" s="18"/>
      <c r="G38" s="141"/>
      <c r="I38" s="141"/>
      <c r="K38" s="141"/>
    </row>
    <row r="39" spans="1:24">
      <c r="A39" s="3">
        <v>1</v>
      </c>
      <c r="B39" s="3" t="s">
        <v>186</v>
      </c>
      <c r="E39" s="4">
        <v>3700000</v>
      </c>
      <c r="G39" s="141"/>
      <c r="H39" s="4">
        <f>854670-8000</f>
        <v>846670</v>
      </c>
      <c r="I39" s="141"/>
      <c r="K39" s="141"/>
      <c r="M39" s="4">
        <f>C39-E39+SUM(H39:H40)-SUM(J39:J40)</f>
        <v>-2853330</v>
      </c>
      <c r="N39" s="4">
        <f>IF(M39&gt;0,+M39,0)</f>
        <v>0</v>
      </c>
      <c r="P39" s="4">
        <f>IF(M39&lt;0,-M39,0)</f>
        <v>2853330</v>
      </c>
      <c r="R39" s="4">
        <f>IF($A39=$S$8,+N39,0)</f>
        <v>0</v>
      </c>
      <c r="T39" s="3">
        <f>IF($A39=$S$8,+P39,0)</f>
        <v>0</v>
      </c>
      <c r="V39" s="3">
        <f>IF($A39=$W$8,+N39,0)</f>
        <v>0</v>
      </c>
      <c r="X39" s="3">
        <f>IF($A39=$W$8,+P39,0)</f>
        <v>2853330</v>
      </c>
    </row>
    <row r="40" spans="1:24" ht="5" customHeight="1">
      <c r="B40" s="18"/>
      <c r="C40" s="18"/>
      <c r="D40" s="18"/>
      <c r="E40" s="18"/>
      <c r="G40" s="141"/>
      <c r="I40" s="141"/>
      <c r="K40" s="141"/>
    </row>
    <row r="41" spans="1:24">
      <c r="A41" s="3">
        <v>1</v>
      </c>
      <c r="B41" s="3" t="s">
        <v>187</v>
      </c>
      <c r="G41" s="141"/>
      <c r="I41" s="141"/>
      <c r="J41" s="4">
        <v>80000</v>
      </c>
      <c r="K41" s="20"/>
      <c r="M41" s="4">
        <f>C41-E41+SUM(H41:H42)-SUM(J41:J42)</f>
        <v>-80000</v>
      </c>
      <c r="N41" s="4">
        <f>IF(M41&gt;0,+M41,0)</f>
        <v>0</v>
      </c>
      <c r="P41" s="4">
        <f>IF(M41&lt;0,-M41,0)</f>
        <v>80000</v>
      </c>
      <c r="R41" s="4">
        <f>IF($A41=$S$8,+N41,0)</f>
        <v>0</v>
      </c>
      <c r="T41" s="3">
        <f>IF($A41=$S$8,+P41,0)</f>
        <v>0</v>
      </c>
      <c r="V41" s="3">
        <f>IF($A41=$W$8,+N41,0)</f>
        <v>0</v>
      </c>
      <c r="X41" s="3">
        <f>IF($A41=$W$8,+P41,0)</f>
        <v>80000</v>
      </c>
    </row>
    <row r="42" spans="1:24" ht="5" customHeight="1">
      <c r="B42" s="18"/>
      <c r="C42" s="18"/>
      <c r="D42" s="18"/>
      <c r="E42" s="18"/>
      <c r="G42" s="141"/>
      <c r="I42" s="141"/>
      <c r="K42" s="141"/>
    </row>
    <row r="43" spans="1:24">
      <c r="A43" s="3">
        <v>1</v>
      </c>
      <c r="B43" s="3" t="s">
        <v>188</v>
      </c>
      <c r="G43" s="20"/>
      <c r="I43" s="141"/>
      <c r="K43" s="22"/>
      <c r="M43" s="4">
        <f>C43-E43+SUM(H43:H44)-SUM(J43:J44)</f>
        <v>0</v>
      </c>
      <c r="N43" s="4">
        <f>IF(M43&gt;0,+M43,0)</f>
        <v>0</v>
      </c>
      <c r="P43" s="4">
        <f>IF(M43&lt;0,-M43,0)</f>
        <v>0</v>
      </c>
      <c r="R43" s="4">
        <f>IF($A43=$S$8,+N43,0)</f>
        <v>0</v>
      </c>
      <c r="T43" s="3">
        <f>IF($A43=$S$8,+P43,0)</f>
        <v>0</v>
      </c>
      <c r="V43" s="3">
        <f>IF($A43=$W$8,+N43,0)</f>
        <v>0</v>
      </c>
      <c r="X43" s="3">
        <f>IF($A43=$W$8,+P43,0)</f>
        <v>0</v>
      </c>
    </row>
    <row r="44" spans="1:24" ht="5" customHeight="1">
      <c r="B44" s="18"/>
      <c r="C44" s="18"/>
      <c r="D44" s="18"/>
      <c r="E44" s="18"/>
      <c r="G44" s="141"/>
      <c r="I44" s="141"/>
      <c r="K44" s="141"/>
    </row>
    <row r="45" spans="1:24">
      <c r="A45" s="3">
        <v>1</v>
      </c>
      <c r="B45" s="3" t="s">
        <v>189</v>
      </c>
      <c r="G45" s="20"/>
      <c r="H45" s="4">
        <v>90000</v>
      </c>
      <c r="I45" s="141"/>
      <c r="K45" s="141"/>
      <c r="M45" s="4">
        <f>C45-E45+SUM(H45:H48)-SUM(J45:J48)</f>
        <v>90000</v>
      </c>
      <c r="N45" s="4">
        <f>IF(M45&gt;0,+M45,0)</f>
        <v>90000</v>
      </c>
      <c r="P45" s="4">
        <f>IF(M45&lt;0,-M45,0)</f>
        <v>0</v>
      </c>
      <c r="R45" s="4">
        <f>IF($A45=$S$8,+N45,0)</f>
        <v>0</v>
      </c>
      <c r="T45" s="3">
        <f>IF($A45=$S$8,+P45,0)</f>
        <v>0</v>
      </c>
      <c r="V45" s="3">
        <f>IF($A45=$W$8,+N45,0)</f>
        <v>90000</v>
      </c>
      <c r="X45" s="3">
        <f>IF($A45=$W$8,+P45,0)</f>
        <v>0</v>
      </c>
    </row>
    <row r="46" spans="1:24" ht="4.5" customHeight="1">
      <c r="B46" s="18"/>
      <c r="C46" s="18"/>
      <c r="D46" s="18"/>
      <c r="E46" s="18"/>
      <c r="G46" s="141"/>
      <c r="I46" s="141"/>
      <c r="K46" s="141"/>
    </row>
    <row r="47" spans="1:24">
      <c r="G47" s="141"/>
      <c r="I47" s="141"/>
      <c r="K47" s="141"/>
    </row>
    <row r="48" spans="1:24" ht="5" customHeight="1" thickBot="1">
      <c r="B48" s="18"/>
      <c r="C48" s="18"/>
      <c r="D48" s="18"/>
      <c r="E48" s="18"/>
      <c r="G48" s="141"/>
    </row>
    <row r="49" spans="2:24" ht="14" thickBot="1">
      <c r="C49" s="12">
        <f>SUM(C9:C48)</f>
        <v>22550000</v>
      </c>
      <c r="E49" s="13">
        <f>SUM(E9:E48)</f>
        <v>22550000</v>
      </c>
      <c r="H49" s="13">
        <f>SUM(H9:H48)</f>
        <v>2937000</v>
      </c>
      <c r="J49" s="13">
        <f>SUM(J9:J48)</f>
        <v>2937000</v>
      </c>
      <c r="N49" s="13">
        <f>SUM(N9:N45)</f>
        <v>23650000</v>
      </c>
      <c r="P49" s="13">
        <f>SUM(P9:P45)</f>
        <v>23650000</v>
      </c>
      <c r="R49" s="10">
        <f>SUM(R9:R45)</f>
        <v>0</v>
      </c>
      <c r="T49" s="7">
        <f>SUM(T9:T45)</f>
        <v>0</v>
      </c>
      <c r="V49" s="7">
        <f>SUM(V9:V48)</f>
        <v>23650000</v>
      </c>
      <c r="X49" s="7">
        <f>SUM(X9:X48)</f>
        <v>23650000</v>
      </c>
    </row>
    <row r="50" spans="2:24" ht="15" thickTop="1" thickBot="1">
      <c r="B50" s="3" t="s">
        <v>190</v>
      </c>
      <c r="C50" s="14"/>
      <c r="E50" s="15"/>
      <c r="H50" s="15"/>
      <c r="J50" s="15"/>
      <c r="N50" s="15"/>
      <c r="P50" s="15"/>
      <c r="R50" s="4">
        <f>IF(R49&gt;T49,0,+T49-R49)</f>
        <v>0</v>
      </c>
      <c r="T50" s="3">
        <f>IF(T49&gt;R49,0,+R49-T49)</f>
        <v>0</v>
      </c>
      <c r="V50" s="3">
        <f>T50</f>
        <v>0</v>
      </c>
      <c r="X50" s="3">
        <f>R50</f>
        <v>0</v>
      </c>
    </row>
    <row r="51" spans="2:24" ht="14" thickBot="1">
      <c r="R51" s="13">
        <f>R50+R49</f>
        <v>0</v>
      </c>
      <c r="T51" s="12">
        <f>T50+T49</f>
        <v>0</v>
      </c>
      <c r="V51" s="12">
        <f>V50+V49</f>
        <v>23650000</v>
      </c>
      <c r="X51" s="12">
        <f>X50+X49</f>
        <v>23650000</v>
      </c>
    </row>
    <row r="52" spans="2:24" ht="14" thickTop="1">
      <c r="R52" s="15"/>
      <c r="T52" s="14"/>
      <c r="V52" s="14"/>
      <c r="X52" s="14"/>
    </row>
  </sheetData>
  <pageMargins left="0.2" right="0.2" top="0.25" bottom="0.25" header="0.3" footer="0.3"/>
  <pageSetup scale="79" orientation="landscape"/>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K44"/>
  <sheetViews>
    <sheetView workbookViewId="0"/>
  </sheetViews>
  <sheetFormatPr baseColWidth="10" defaultColWidth="8.5703125" defaultRowHeight="15" x14ac:dyDescent="0"/>
  <cols>
    <col min="1" max="1" width="5.5703125" customWidth="1"/>
    <col min="2" max="4" width="2.5703125" customWidth="1"/>
    <col min="5" max="5" width="40.5703125" customWidth="1"/>
    <col min="6" max="6" width="10.5703125" customWidth="1"/>
    <col min="7" max="7" width="1.5703125" customWidth="1"/>
    <col min="8" max="8" width="10.5703125" customWidth="1"/>
    <col min="10" max="10" width="12.140625" customWidth="1"/>
    <col min="11" max="11" width="10" bestFit="1" customWidth="1"/>
  </cols>
  <sheetData>
    <row r="1" spans="1:11">
      <c r="A1" s="111"/>
      <c r="F1" s="112"/>
      <c r="G1" s="112"/>
      <c r="H1" s="112"/>
    </row>
    <row r="2" spans="1:11">
      <c r="A2" s="111" t="s">
        <v>191</v>
      </c>
      <c r="F2" s="112"/>
      <c r="G2" s="112"/>
      <c r="H2" s="112"/>
    </row>
    <row r="3" spans="1:11">
      <c r="A3" s="111" t="s">
        <v>192</v>
      </c>
      <c r="F3" s="112"/>
      <c r="G3" s="112"/>
      <c r="H3" s="112"/>
    </row>
    <row r="4" spans="1:11">
      <c r="A4" s="113"/>
      <c r="F4" s="112"/>
      <c r="G4" s="112"/>
      <c r="H4" s="112"/>
      <c r="J4" s="114" t="s">
        <v>193</v>
      </c>
    </row>
    <row r="5" spans="1:11">
      <c r="A5" s="113">
        <v>1</v>
      </c>
      <c r="B5" s="114" t="s">
        <v>186</v>
      </c>
      <c r="F5" s="112">
        <f>SUM(H6:H8)</f>
        <v>987000</v>
      </c>
      <c r="G5" s="112"/>
      <c r="H5" s="112"/>
      <c r="J5" t="s">
        <v>186</v>
      </c>
      <c r="K5" s="112">
        <f>+F5+F10-H14+F17-H22+F24-H29-H35-H32</f>
        <v>846670</v>
      </c>
    </row>
    <row r="6" spans="1:11">
      <c r="A6" s="113"/>
      <c r="C6" s="114" t="s">
        <v>176</v>
      </c>
      <c r="F6" s="112"/>
      <c r="G6" s="112"/>
      <c r="H6" s="112">
        <f>+'GCA-GLTL'!J14</f>
        <v>245000</v>
      </c>
    </row>
    <row r="7" spans="1:11">
      <c r="A7" s="113"/>
      <c r="C7" s="114" t="s">
        <v>178</v>
      </c>
      <c r="F7" s="112"/>
      <c r="G7" s="112"/>
      <c r="H7" s="112">
        <f>+'GCA-GLTL'!J19</f>
        <v>222000</v>
      </c>
    </row>
    <row r="8" spans="1:11">
      <c r="A8" s="113"/>
      <c r="C8" s="114" t="s">
        <v>180</v>
      </c>
      <c r="F8" s="112"/>
      <c r="G8" s="112"/>
      <c r="H8" s="112">
        <f>+'GCA-GLTL'!J23</f>
        <v>520000</v>
      </c>
    </row>
    <row r="9" spans="1:11">
      <c r="A9" s="113"/>
      <c r="F9" s="112"/>
      <c r="G9" s="112"/>
      <c r="H9" s="112"/>
    </row>
    <row r="10" spans="1:11">
      <c r="A10" s="113">
        <v>2</v>
      </c>
      <c r="B10" s="114" t="s">
        <v>186</v>
      </c>
      <c r="F10" s="112">
        <f>+H11</f>
        <v>20000</v>
      </c>
      <c r="G10" s="112"/>
      <c r="H10" s="112"/>
    </row>
    <row r="11" spans="1:11">
      <c r="A11" s="113"/>
      <c r="C11" s="114" t="s">
        <v>185</v>
      </c>
      <c r="F11" s="112"/>
      <c r="G11" s="112"/>
      <c r="H11" s="112">
        <f>+'GCA-GLTL'!J37</f>
        <v>20000</v>
      </c>
    </row>
    <row r="12" spans="1:11">
      <c r="A12" s="113"/>
      <c r="F12" s="112"/>
      <c r="G12" s="112"/>
      <c r="H12" s="112"/>
    </row>
    <row r="13" spans="1:11">
      <c r="A13" s="113">
        <v>3</v>
      </c>
      <c r="B13" s="114" t="s">
        <v>194</v>
      </c>
      <c r="F13" s="112">
        <f>+'GCA-GLTL'!H31</f>
        <v>3330</v>
      </c>
      <c r="G13" s="112"/>
      <c r="H13" s="112"/>
    </row>
    <row r="14" spans="1:11">
      <c r="A14" s="113"/>
      <c r="C14" s="114" t="s">
        <v>195</v>
      </c>
      <c r="F14" s="112"/>
      <c r="G14" s="112"/>
      <c r="H14" s="112">
        <f>+F13</f>
        <v>3330</v>
      </c>
    </row>
    <row r="15" spans="1:11">
      <c r="A15" s="113"/>
      <c r="F15" s="112"/>
      <c r="G15" s="112"/>
      <c r="H15" s="112"/>
    </row>
    <row r="16" spans="1:11">
      <c r="A16" s="115" t="s">
        <v>196</v>
      </c>
      <c r="B16" s="114" t="s">
        <v>197</v>
      </c>
      <c r="F16" s="112">
        <f>+'GCA-GLTL'!H19</f>
        <v>187000</v>
      </c>
      <c r="G16" s="112"/>
      <c r="H16" s="112"/>
    </row>
    <row r="17" spans="1:8">
      <c r="A17" s="113"/>
      <c r="B17" s="114" t="s">
        <v>198</v>
      </c>
      <c r="F17" s="112">
        <f>+H18-F16</f>
        <v>113000</v>
      </c>
      <c r="G17" s="112"/>
      <c r="H17" s="112"/>
    </row>
    <row r="18" spans="1:8">
      <c r="A18" s="113"/>
      <c r="C18" s="114" t="s">
        <v>199</v>
      </c>
      <c r="F18" s="112"/>
      <c r="G18" s="112"/>
      <c r="H18" s="112">
        <f>+'GCA-GLTL'!J16</f>
        <v>300000</v>
      </c>
    </row>
    <row r="19" spans="1:8">
      <c r="A19" s="113"/>
      <c r="F19" s="112"/>
      <c r="G19" s="112"/>
      <c r="H19" s="112"/>
    </row>
    <row r="20" spans="1:8">
      <c r="A20" s="115" t="s">
        <v>200</v>
      </c>
      <c r="B20" s="114" t="s">
        <v>189</v>
      </c>
      <c r="F20" s="112">
        <f>+'GCA-GLTL'!H45</f>
        <v>90000</v>
      </c>
      <c r="G20" s="112"/>
      <c r="H20" s="112"/>
    </row>
    <row r="21" spans="1:8">
      <c r="A21" s="113"/>
      <c r="C21" s="114" t="s">
        <v>187</v>
      </c>
      <c r="F21" s="112"/>
      <c r="G21" s="112"/>
      <c r="H21" s="112">
        <f>+'GCA-GLTL'!J41</f>
        <v>80000</v>
      </c>
    </row>
    <row r="22" spans="1:8">
      <c r="A22" s="113"/>
      <c r="C22" s="114" t="s">
        <v>186</v>
      </c>
      <c r="F22" s="112"/>
      <c r="G22" s="112"/>
      <c r="H22" s="112">
        <f>+F20-H21</f>
        <v>10000</v>
      </c>
    </row>
    <row r="23" spans="1:8">
      <c r="A23" s="113"/>
      <c r="F23" s="112"/>
      <c r="G23" s="112"/>
      <c r="H23" s="112"/>
    </row>
    <row r="24" spans="1:8">
      <c r="A24" s="115" t="s">
        <v>201</v>
      </c>
      <c r="B24" s="114" t="s">
        <v>186</v>
      </c>
      <c r="F24" s="112">
        <f>+H25+H26</f>
        <v>1550000</v>
      </c>
      <c r="G24" s="112"/>
      <c r="H24" s="112"/>
    </row>
    <row r="25" spans="1:8">
      <c r="A25" s="113"/>
      <c r="C25" s="114" t="s">
        <v>182</v>
      </c>
      <c r="F25" s="112"/>
      <c r="G25" s="112"/>
      <c r="H25" s="112">
        <f>'GCA-GLTL'!J28</f>
        <v>1500000</v>
      </c>
    </row>
    <row r="26" spans="1:8">
      <c r="A26" s="113"/>
      <c r="C26" s="114" t="s">
        <v>183</v>
      </c>
      <c r="F26" s="112"/>
      <c r="G26" s="112"/>
      <c r="H26" s="112">
        <f>'GCA-GLTL'!J31</f>
        <v>50000</v>
      </c>
    </row>
    <row r="27" spans="1:8">
      <c r="A27" s="113"/>
      <c r="F27" s="112"/>
      <c r="G27" s="112"/>
      <c r="H27" s="112"/>
    </row>
    <row r="28" spans="1:8">
      <c r="A28" s="115" t="s">
        <v>202</v>
      </c>
      <c r="B28" s="114" t="s">
        <v>174</v>
      </c>
      <c r="F28" s="112">
        <f>+'GCA-GLTL'!H9</f>
        <v>110000</v>
      </c>
      <c r="G28" s="112"/>
      <c r="H28" s="112"/>
    </row>
    <row r="29" spans="1:8">
      <c r="A29" s="113"/>
      <c r="C29" s="114" t="s">
        <v>186</v>
      </c>
      <c r="F29" s="112"/>
      <c r="G29" s="112"/>
      <c r="H29" s="112">
        <f>+F28</f>
        <v>110000</v>
      </c>
    </row>
    <row r="30" spans="1:8">
      <c r="A30" s="113"/>
      <c r="F30" s="112"/>
      <c r="G30" s="112"/>
      <c r="H30" s="112"/>
    </row>
    <row r="31" spans="1:8">
      <c r="A31" s="115" t="s">
        <v>203</v>
      </c>
      <c r="B31" s="114" t="s">
        <v>181</v>
      </c>
      <c r="F31" s="112">
        <v>1200000</v>
      </c>
      <c r="G31" s="112"/>
      <c r="H31" s="112"/>
    </row>
    <row r="32" spans="1:8">
      <c r="A32" s="113"/>
      <c r="C32" s="114" t="s">
        <v>186</v>
      </c>
      <c r="F32" s="112"/>
      <c r="G32" s="112"/>
      <c r="H32" s="112">
        <v>1200000</v>
      </c>
    </row>
    <row r="33" spans="1:8">
      <c r="A33" s="113"/>
      <c r="F33" s="112"/>
      <c r="G33" s="112"/>
      <c r="H33" s="112"/>
    </row>
    <row r="34" spans="1:8">
      <c r="A34" s="117" t="s">
        <v>204</v>
      </c>
      <c r="B34" s="114" t="s">
        <v>182</v>
      </c>
      <c r="F34" s="112">
        <f>+'GCA-GLTL'!H28</f>
        <v>500000</v>
      </c>
      <c r="G34" s="112"/>
      <c r="H34" s="112"/>
    </row>
    <row r="35" spans="1:8">
      <c r="A35" s="113"/>
      <c r="C35" s="114" t="s">
        <v>186</v>
      </c>
      <c r="F35" s="112"/>
      <c r="G35" s="112"/>
      <c r="H35" s="112">
        <f>+F34</f>
        <v>500000</v>
      </c>
    </row>
    <row r="36" spans="1:8">
      <c r="A36" s="113"/>
      <c r="F36" s="112"/>
      <c r="G36" s="112"/>
      <c r="H36" s="112"/>
    </row>
    <row r="37" spans="1:8">
      <c r="A37" s="113"/>
      <c r="F37" s="112"/>
      <c r="G37" s="112"/>
      <c r="H37" s="112"/>
    </row>
    <row r="38" spans="1:8">
      <c r="A38" s="116" t="s">
        <v>205</v>
      </c>
      <c r="B38" s="114" t="s">
        <v>206</v>
      </c>
      <c r="F38" s="112"/>
      <c r="G38" s="112"/>
      <c r="H38" s="112"/>
    </row>
    <row r="39" spans="1:8">
      <c r="A39" s="116" t="s">
        <v>207</v>
      </c>
      <c r="B39" s="114" t="s">
        <v>208</v>
      </c>
      <c r="F39" s="112"/>
      <c r="G39" s="112"/>
      <c r="H39" s="112"/>
    </row>
    <row r="40" spans="1:8">
      <c r="A40" s="113"/>
      <c r="C40" s="114" t="s">
        <v>209</v>
      </c>
      <c r="F40" s="112"/>
      <c r="G40" s="112"/>
      <c r="H40" s="112"/>
    </row>
    <row r="41" spans="1:8">
      <c r="A41" s="116" t="s">
        <v>210</v>
      </c>
      <c r="B41" s="114" t="s">
        <v>211</v>
      </c>
      <c r="F41" s="112"/>
      <c r="G41" s="112"/>
      <c r="H41" s="112"/>
    </row>
    <row r="42" spans="1:8">
      <c r="A42" s="113"/>
      <c r="C42" s="114" t="s">
        <v>212</v>
      </c>
      <c r="F42" s="112"/>
      <c r="G42" s="112"/>
      <c r="H42" s="112"/>
    </row>
    <row r="43" spans="1:8">
      <c r="A43" s="113"/>
      <c r="F43" s="112"/>
      <c r="G43" s="112"/>
      <c r="H43" s="112"/>
    </row>
    <row r="44" spans="1:8">
      <c r="A44" s="113"/>
      <c r="F44" s="112"/>
      <c r="G44" s="112"/>
      <c r="H44" s="112"/>
    </row>
  </sheetData>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M42"/>
  <sheetViews>
    <sheetView workbookViewId="0">
      <selection sqref="A1:M1"/>
    </sheetView>
  </sheetViews>
  <sheetFormatPr baseColWidth="10" defaultColWidth="8.5703125" defaultRowHeight="15" x14ac:dyDescent="0"/>
  <cols>
    <col min="1" max="1" width="2.5703125" customWidth="1"/>
    <col min="2" max="2" width="35.5703125" customWidth="1"/>
    <col min="3" max="3" width="10.5703125" customWidth="1"/>
    <col min="4" max="4" width="0.85546875" customWidth="1"/>
    <col min="5" max="5" width="10.5703125" customWidth="1"/>
    <col min="6" max="6" width="0.85546875" customWidth="1"/>
    <col min="7" max="7" width="5.5703125" customWidth="1"/>
    <col min="8" max="8" width="0.85546875" customWidth="1"/>
    <col min="9" max="9" width="10.5703125" customWidth="1"/>
    <col min="10" max="10" width="0.85546875" customWidth="1"/>
    <col min="11" max="11" width="5.5703125" customWidth="1"/>
    <col min="12" max="12" width="0.5703125" customWidth="1"/>
    <col min="13" max="13" width="10.5703125" customWidth="1"/>
  </cols>
  <sheetData>
    <row r="1" spans="1:13">
      <c r="A1" s="152" t="s">
        <v>0</v>
      </c>
      <c r="B1" s="152"/>
      <c r="C1" s="152"/>
      <c r="D1" s="152"/>
      <c r="E1" s="152"/>
      <c r="F1" s="152"/>
      <c r="G1" s="152"/>
      <c r="H1" s="152"/>
      <c r="I1" s="152"/>
      <c r="J1" s="152"/>
      <c r="K1" s="152"/>
      <c r="L1" s="152"/>
      <c r="M1" s="152"/>
    </row>
    <row r="2" spans="1:13">
      <c r="A2" s="152" t="s">
        <v>213</v>
      </c>
      <c r="B2" s="152"/>
      <c r="C2" s="152"/>
      <c r="D2" s="152"/>
      <c r="E2" s="152"/>
      <c r="F2" s="152"/>
      <c r="G2" s="152"/>
      <c r="H2" s="152"/>
      <c r="I2" s="152"/>
      <c r="J2" s="152"/>
      <c r="K2" s="152"/>
      <c r="L2" s="152"/>
      <c r="M2" s="152"/>
    </row>
    <row r="3" spans="1:13">
      <c r="A3" s="152" t="s">
        <v>2</v>
      </c>
      <c r="B3" s="152"/>
      <c r="C3" s="152"/>
      <c r="D3" s="152"/>
      <c r="E3" s="152"/>
      <c r="F3" s="152"/>
      <c r="G3" s="152"/>
      <c r="H3" s="152"/>
      <c r="I3" s="152"/>
      <c r="J3" s="152"/>
      <c r="K3" s="152"/>
      <c r="L3" s="152"/>
      <c r="M3" s="152"/>
    </row>
    <row r="4" spans="1:13">
      <c r="A4" s="24"/>
      <c r="B4" s="24"/>
      <c r="C4" s="24"/>
      <c r="D4" s="24"/>
      <c r="E4" s="24"/>
      <c r="F4" s="24"/>
      <c r="G4" s="142"/>
      <c r="H4" s="24"/>
      <c r="I4" s="24"/>
      <c r="J4" s="24"/>
      <c r="K4" s="142"/>
      <c r="L4" s="24"/>
      <c r="M4" s="24"/>
    </row>
    <row r="5" spans="1:13">
      <c r="A5" s="24"/>
      <c r="B5" s="24"/>
      <c r="C5" s="142" t="s">
        <v>214</v>
      </c>
      <c r="D5" s="142"/>
      <c r="E5" s="142"/>
      <c r="F5" s="142"/>
      <c r="G5" s="142" t="s">
        <v>215</v>
      </c>
      <c r="H5" s="142"/>
      <c r="I5" s="142"/>
      <c r="J5" s="142"/>
      <c r="K5" s="142" t="s">
        <v>215</v>
      </c>
      <c r="L5" s="142"/>
      <c r="M5" s="142" t="s">
        <v>216</v>
      </c>
    </row>
    <row r="6" spans="1:13">
      <c r="A6" s="24"/>
      <c r="B6" s="24"/>
      <c r="C6" s="142" t="s">
        <v>217</v>
      </c>
      <c r="D6" s="142"/>
      <c r="E6" s="142" t="s">
        <v>218</v>
      </c>
      <c r="F6" s="142"/>
      <c r="G6" s="142" t="s">
        <v>13</v>
      </c>
      <c r="H6" s="142"/>
      <c r="I6" s="142" t="s">
        <v>219</v>
      </c>
      <c r="J6" s="142"/>
      <c r="K6" s="142" t="s">
        <v>13</v>
      </c>
      <c r="L6" s="142"/>
      <c r="M6" s="142" t="s">
        <v>217</v>
      </c>
    </row>
    <row r="7" spans="1:13">
      <c r="A7" s="24" t="s">
        <v>220</v>
      </c>
      <c r="B7" s="24"/>
      <c r="C7" s="24"/>
      <c r="D7" s="24"/>
      <c r="E7" s="24"/>
      <c r="F7" s="24"/>
      <c r="G7" s="142"/>
      <c r="H7" s="24"/>
      <c r="I7" s="24"/>
      <c r="J7" s="24"/>
      <c r="K7" s="142"/>
      <c r="L7" s="24"/>
      <c r="M7" s="24"/>
    </row>
    <row r="8" spans="1:13">
      <c r="A8" s="24" t="s">
        <v>174</v>
      </c>
      <c r="B8" s="24"/>
      <c r="C8" s="24">
        <f>+'GCA-GLTL'!C9</f>
        <v>800000</v>
      </c>
      <c r="D8" s="24"/>
      <c r="E8" s="24">
        <f>+'GCA-GLTL'!H9</f>
        <v>110000</v>
      </c>
      <c r="F8" s="24"/>
      <c r="G8" s="52"/>
      <c r="H8" s="24"/>
      <c r="I8" s="24"/>
      <c r="J8" s="24"/>
      <c r="K8" s="142"/>
      <c r="L8" s="24"/>
      <c r="M8" s="24">
        <f>+C8+SUM(E8:E9)+SUM(I8:I9)</f>
        <v>910000</v>
      </c>
    </row>
    <row r="9" spans="1:13">
      <c r="A9" s="51"/>
      <c r="B9" s="51"/>
      <c r="C9" s="24"/>
      <c r="D9" s="24"/>
      <c r="E9" s="24"/>
      <c r="F9" s="24"/>
      <c r="G9" s="142"/>
      <c r="H9" s="24"/>
      <c r="I9" s="24"/>
      <c r="J9" s="24"/>
      <c r="K9" s="142"/>
      <c r="L9" s="24"/>
      <c r="M9" s="24"/>
    </row>
    <row r="10" spans="1:13">
      <c r="A10" s="24" t="s">
        <v>181</v>
      </c>
      <c r="B10" s="24"/>
      <c r="C10" s="24">
        <f>+'GCA-GLTL'!C25</f>
        <v>1700000</v>
      </c>
      <c r="D10" s="24"/>
      <c r="E10" s="24">
        <f>+'GCA-GLTL'!H25</f>
        <v>1200000</v>
      </c>
      <c r="F10" s="24"/>
      <c r="G10" s="54"/>
      <c r="H10" s="24"/>
      <c r="I10" s="24"/>
      <c r="J10" s="24"/>
      <c r="K10" s="52"/>
      <c r="L10" s="24"/>
      <c r="M10" s="24">
        <f>+C10+SUM(E10:E12)+SUM(I10:I12)</f>
        <v>2900000</v>
      </c>
    </row>
    <row r="11" spans="1:13">
      <c r="A11" s="24"/>
      <c r="B11" s="24"/>
      <c r="C11" s="24"/>
      <c r="D11" s="24"/>
      <c r="E11" s="24"/>
      <c r="F11" s="24"/>
      <c r="G11" s="54"/>
      <c r="H11" s="24"/>
      <c r="I11" s="24"/>
      <c r="J11" s="24"/>
      <c r="K11" s="52"/>
      <c r="L11" s="24"/>
      <c r="M11" s="24"/>
    </row>
    <row r="12" spans="1:13">
      <c r="A12" s="51"/>
      <c r="B12" s="51"/>
      <c r="C12" s="24"/>
      <c r="D12" s="24"/>
      <c r="E12" s="24"/>
      <c r="F12" s="24"/>
      <c r="G12" s="24"/>
      <c r="H12" s="24"/>
      <c r="I12" s="24"/>
      <c r="J12" s="24"/>
      <c r="K12" s="142"/>
      <c r="L12" s="24"/>
      <c r="M12" s="24"/>
    </row>
    <row r="13" spans="1:13">
      <c r="A13" s="24"/>
      <c r="B13" s="24" t="s">
        <v>221</v>
      </c>
      <c r="C13" s="37">
        <f>SUM(C8:C12)</f>
        <v>2500000</v>
      </c>
      <c r="D13" s="24"/>
      <c r="E13" s="37">
        <f>SUM(E8:E12)</f>
        <v>1310000</v>
      </c>
      <c r="F13" s="24"/>
      <c r="G13" s="142"/>
      <c r="H13" s="24"/>
      <c r="I13" s="37">
        <f>SUM(I8:I12)</f>
        <v>0</v>
      </c>
      <c r="J13" s="24"/>
      <c r="K13" s="142"/>
      <c r="L13" s="24"/>
      <c r="M13" s="37">
        <f>SUM(M8:M12)</f>
        <v>3810000</v>
      </c>
    </row>
    <row r="14" spans="1:13">
      <c r="A14" s="24"/>
      <c r="B14" s="24"/>
      <c r="C14" s="24"/>
      <c r="D14" s="24"/>
      <c r="E14" s="24"/>
      <c r="F14" s="24"/>
      <c r="G14" s="142"/>
      <c r="H14" s="24"/>
      <c r="I14" s="24"/>
      <c r="J14" s="24"/>
      <c r="K14" s="142"/>
      <c r="L14" s="24"/>
      <c r="M14" s="24"/>
    </row>
    <row r="15" spans="1:13">
      <c r="A15" s="24" t="s">
        <v>222</v>
      </c>
      <c r="B15" s="24"/>
      <c r="C15" s="24"/>
      <c r="D15" s="24"/>
      <c r="E15" s="24"/>
      <c r="F15" s="24"/>
      <c r="G15" s="142"/>
      <c r="H15" s="24"/>
      <c r="I15" s="24"/>
      <c r="J15" s="24"/>
      <c r="K15" s="142"/>
      <c r="L15" s="24"/>
      <c r="M15" s="24"/>
    </row>
    <row r="16" spans="1:13">
      <c r="A16" s="24" t="s">
        <v>175</v>
      </c>
      <c r="B16" s="24"/>
      <c r="C16" s="24">
        <f>+'GCA-GLTL'!C12</f>
        <v>5300000</v>
      </c>
      <c r="D16" s="24"/>
      <c r="E16" s="24"/>
      <c r="F16" s="24"/>
      <c r="G16" s="142"/>
      <c r="H16" s="24"/>
      <c r="I16" s="24"/>
      <c r="J16" s="24"/>
      <c r="K16" s="142"/>
      <c r="L16" s="24"/>
      <c r="M16" s="24">
        <f>+C16+SUM(E16:E17)+SUM(I16:I17)</f>
        <v>5300000</v>
      </c>
    </row>
    <row r="17" spans="1:13">
      <c r="A17" s="51"/>
      <c r="B17" s="51"/>
      <c r="C17" s="24"/>
      <c r="D17" s="24"/>
      <c r="E17" s="24"/>
      <c r="F17" s="24"/>
      <c r="G17" s="142"/>
      <c r="H17" s="24"/>
      <c r="I17" s="24"/>
      <c r="J17" s="24"/>
      <c r="K17" s="142"/>
      <c r="L17" s="24"/>
      <c r="M17" s="24"/>
    </row>
    <row r="18" spans="1:13">
      <c r="A18" s="24" t="s">
        <v>177</v>
      </c>
      <c r="B18" s="24"/>
      <c r="C18" s="24">
        <f>+'GCA-GLTL'!C16</f>
        <v>1750000</v>
      </c>
      <c r="D18" s="24"/>
      <c r="E18" s="24"/>
      <c r="F18" s="24"/>
      <c r="G18" s="52"/>
      <c r="H18" s="24"/>
      <c r="I18" s="24">
        <f>-'GCA-GLTL'!J16</f>
        <v>-300000</v>
      </c>
      <c r="J18" s="24"/>
      <c r="K18" s="52"/>
      <c r="L18" s="24"/>
      <c r="M18" s="24">
        <f>+C18+C20+SUM(E18:E21)+SUM(I18:I21)</f>
        <v>2300000</v>
      </c>
    </row>
    <row r="19" spans="1:13">
      <c r="A19" s="24"/>
      <c r="B19" s="24"/>
      <c r="C19" s="24"/>
      <c r="D19" s="24"/>
      <c r="E19" s="24"/>
      <c r="F19" s="24"/>
      <c r="G19" s="52"/>
      <c r="H19" s="24"/>
      <c r="I19" s="24"/>
      <c r="J19" s="24"/>
      <c r="K19" s="52"/>
      <c r="L19" s="24"/>
      <c r="M19" s="24"/>
    </row>
    <row r="20" spans="1:13">
      <c r="A20" s="24"/>
      <c r="B20" s="24"/>
      <c r="C20" s="24">
        <f>+'CCN ISF'!C16</f>
        <v>850000</v>
      </c>
      <c r="D20" s="24"/>
      <c r="E20" s="24"/>
      <c r="F20" s="24"/>
      <c r="G20" s="52"/>
      <c r="H20" s="24"/>
      <c r="I20" s="24"/>
      <c r="J20" s="24"/>
      <c r="K20" s="52"/>
      <c r="L20" s="24"/>
      <c r="M20" s="24"/>
    </row>
    <row r="21" spans="1:13">
      <c r="A21" s="51"/>
      <c r="B21" s="51"/>
      <c r="C21" s="24"/>
      <c r="D21" s="24"/>
      <c r="E21" s="24"/>
      <c r="F21" s="24"/>
      <c r="G21" s="142"/>
      <c r="H21" s="24"/>
      <c r="I21" s="24"/>
      <c r="J21" s="24"/>
      <c r="K21" s="142"/>
      <c r="L21" s="24"/>
      <c r="M21" s="24"/>
    </row>
    <row r="22" spans="1:13">
      <c r="A22" s="24" t="s">
        <v>189</v>
      </c>
      <c r="B22" s="24"/>
      <c r="C22" s="24">
        <v>0</v>
      </c>
      <c r="D22" s="24"/>
      <c r="E22" s="24">
        <f>+'GCA-GLTL'!H45</f>
        <v>90000</v>
      </c>
      <c r="F22" s="24"/>
      <c r="G22" s="52"/>
      <c r="H22" s="24"/>
      <c r="I22" s="24"/>
      <c r="J22" s="24"/>
      <c r="K22" s="142"/>
      <c r="L22" s="24"/>
      <c r="M22" s="24">
        <f>+C22+SUM(E22:E23)+SUM(I22:I23)</f>
        <v>90000</v>
      </c>
    </row>
    <row r="23" spans="1:13">
      <c r="A23" s="51"/>
      <c r="B23" s="51"/>
      <c r="C23" s="24"/>
      <c r="D23" s="24"/>
      <c r="E23" s="24"/>
      <c r="F23" s="24"/>
      <c r="G23" s="142"/>
      <c r="H23" s="24"/>
      <c r="I23" s="24"/>
      <c r="J23" s="24"/>
      <c r="K23" s="142"/>
      <c r="L23" s="24"/>
      <c r="M23" s="24"/>
    </row>
    <row r="24" spans="1:13">
      <c r="A24" s="24" t="s">
        <v>179</v>
      </c>
      <c r="B24" s="24"/>
      <c r="C24" s="24">
        <f>+'GCA-GLTL'!C21</f>
        <v>13000000</v>
      </c>
      <c r="D24" s="24"/>
      <c r="E24" s="24"/>
      <c r="F24" s="24"/>
      <c r="G24" s="52"/>
      <c r="H24" s="24"/>
      <c r="I24" s="24"/>
      <c r="J24" s="24"/>
      <c r="K24" s="142"/>
      <c r="L24" s="24"/>
      <c r="M24" s="24">
        <f>+C24+SUM(E24:E25)+SUM(I24:I25)</f>
        <v>13000000</v>
      </c>
    </row>
    <row r="25" spans="1:13">
      <c r="A25" s="51"/>
      <c r="B25" s="51"/>
      <c r="C25" s="24"/>
      <c r="D25" s="24"/>
      <c r="E25" s="24"/>
      <c r="F25" s="24"/>
      <c r="G25" s="142"/>
      <c r="H25" s="24"/>
      <c r="I25" s="24"/>
      <c r="J25" s="24"/>
      <c r="K25" s="142"/>
      <c r="L25" s="24"/>
      <c r="M25" s="24"/>
    </row>
    <row r="26" spans="1:13">
      <c r="A26" s="24"/>
      <c r="B26" s="24" t="s">
        <v>223</v>
      </c>
      <c r="C26" s="37">
        <f>SUM(C16:C25)</f>
        <v>20900000</v>
      </c>
      <c r="D26" s="24"/>
      <c r="E26" s="37">
        <f>SUM(E16:E25)</f>
        <v>90000</v>
      </c>
      <c r="F26" s="24"/>
      <c r="G26" s="142"/>
      <c r="H26" s="24"/>
      <c r="I26" s="37">
        <f>SUM(I16:I25)</f>
        <v>-300000</v>
      </c>
      <c r="J26" s="24"/>
      <c r="K26" s="142"/>
      <c r="L26" s="24"/>
      <c r="M26" s="37">
        <f>SUM(M16:M25)</f>
        <v>20690000</v>
      </c>
    </row>
    <row r="27" spans="1:13">
      <c r="A27" s="24"/>
      <c r="B27" s="24"/>
      <c r="C27" s="24"/>
      <c r="D27" s="24"/>
      <c r="E27" s="24"/>
      <c r="F27" s="24"/>
      <c r="G27" s="142"/>
      <c r="H27" s="24"/>
      <c r="I27" s="24"/>
      <c r="J27" s="24"/>
      <c r="K27" s="142"/>
      <c r="L27" s="24"/>
      <c r="M27" s="24"/>
    </row>
    <row r="28" spans="1:13">
      <c r="A28" s="24" t="s">
        <v>224</v>
      </c>
      <c r="B28" s="24"/>
      <c r="C28" s="24"/>
      <c r="D28" s="24"/>
      <c r="E28" s="24"/>
      <c r="F28" s="24"/>
      <c r="G28" s="142"/>
      <c r="H28" s="24"/>
      <c r="I28" s="24"/>
      <c r="J28" s="24"/>
      <c r="K28" s="142"/>
      <c r="L28" s="24"/>
      <c r="M28" s="24"/>
    </row>
    <row r="29" spans="1:13">
      <c r="A29" s="24" t="s">
        <v>175</v>
      </c>
      <c r="B29" s="24"/>
      <c r="C29" s="24">
        <f>-'GCA-GLTL'!E14</f>
        <v>-2200000</v>
      </c>
      <c r="D29" s="24"/>
      <c r="E29" s="24">
        <f>-'GCA-GLTL'!J14</f>
        <v>-245000</v>
      </c>
      <c r="F29" s="24"/>
      <c r="G29" s="142"/>
      <c r="H29" s="24"/>
      <c r="I29" s="24"/>
      <c r="J29" s="24"/>
      <c r="K29" s="142"/>
      <c r="L29" s="24"/>
      <c r="M29" s="24">
        <f>+C29+SUM(E29:E30)+SUM(I29:I30)</f>
        <v>-2445000</v>
      </c>
    </row>
    <row r="30" spans="1:13">
      <c r="A30" s="51"/>
      <c r="B30" s="51"/>
      <c r="C30" s="24"/>
      <c r="D30" s="24"/>
      <c r="E30" s="24"/>
      <c r="F30" s="24"/>
      <c r="G30" s="142"/>
      <c r="H30" s="24"/>
      <c r="I30" s="24"/>
      <c r="J30" s="24"/>
      <c r="K30" s="142"/>
      <c r="L30" s="24"/>
      <c r="M30" s="24"/>
    </row>
    <row r="31" spans="1:13">
      <c r="A31" s="24" t="s">
        <v>177</v>
      </c>
      <c r="B31" s="24"/>
      <c r="C31" s="24">
        <f>-'GCA-GLTL'!E19</f>
        <v>-550000</v>
      </c>
      <c r="D31" s="24"/>
      <c r="E31" s="24">
        <f>-'GCA-GLTL'!J19</f>
        <v>-222000</v>
      </c>
      <c r="F31" s="24"/>
      <c r="G31" s="142"/>
      <c r="H31" s="24"/>
      <c r="I31" s="24">
        <v>187000</v>
      </c>
      <c r="J31" s="24"/>
      <c r="K31" s="52"/>
      <c r="L31" s="24"/>
      <c r="M31" s="24">
        <f>+C31+C32+SUM(E31:E33)+SUM(I31:I33)</f>
        <v>-730000</v>
      </c>
    </row>
    <row r="32" spans="1:13">
      <c r="A32" s="24"/>
      <c r="B32" s="24"/>
      <c r="C32" s="24">
        <f>-'CCN ISF'!E18</f>
        <v>-145000</v>
      </c>
      <c r="D32" s="24"/>
      <c r="E32" s="24">
        <f>-'CCN ISF'!J18</f>
        <v>0</v>
      </c>
      <c r="F32" s="24"/>
      <c r="G32" s="142"/>
      <c r="H32" s="24"/>
      <c r="I32" s="24"/>
      <c r="J32" s="24"/>
      <c r="K32" s="52"/>
      <c r="L32" s="24"/>
      <c r="M32" s="24"/>
    </row>
    <row r="33" spans="1:13">
      <c r="A33" s="51"/>
      <c r="B33" s="51"/>
      <c r="C33" s="24"/>
      <c r="D33" s="24"/>
      <c r="E33" s="24"/>
      <c r="F33" s="24"/>
      <c r="G33" s="142"/>
      <c r="H33" s="24"/>
      <c r="I33" s="24"/>
      <c r="J33" s="24"/>
      <c r="K33" s="142"/>
      <c r="L33" s="24"/>
      <c r="M33" s="24"/>
    </row>
    <row r="34" spans="1:13">
      <c r="A34" s="53" t="s">
        <v>189</v>
      </c>
      <c r="B34" s="53"/>
      <c r="C34" s="24">
        <v>0</v>
      </c>
      <c r="D34" s="24"/>
      <c r="E34" s="24"/>
      <c r="F34" s="24"/>
      <c r="G34" s="142"/>
      <c r="H34" s="24"/>
      <c r="I34" s="24"/>
      <c r="J34" s="24"/>
      <c r="K34" s="142"/>
      <c r="L34" s="24"/>
      <c r="M34" s="24">
        <f>+C34+SUM(E34:E35)+SUM(I34:I35)</f>
        <v>0</v>
      </c>
    </row>
    <row r="35" spans="1:13">
      <c r="A35" s="51"/>
      <c r="B35" s="51"/>
      <c r="C35" s="24"/>
      <c r="D35" s="24"/>
      <c r="E35" s="24"/>
      <c r="F35" s="24"/>
      <c r="G35" s="142"/>
      <c r="H35" s="24"/>
      <c r="I35" s="24"/>
      <c r="J35" s="24"/>
      <c r="K35" s="142"/>
      <c r="L35" s="24"/>
      <c r="M35" s="24"/>
    </row>
    <row r="36" spans="1:13">
      <c r="A36" s="24" t="s">
        <v>179</v>
      </c>
      <c r="B36" s="24"/>
      <c r="C36" s="24">
        <f>-'GCA-GLTL'!E23</f>
        <v>-6000000</v>
      </c>
      <c r="D36" s="24"/>
      <c r="E36" s="24">
        <f>-'GCA-GLTL'!J23</f>
        <v>-520000</v>
      </c>
      <c r="F36" s="24"/>
      <c r="G36" s="142"/>
      <c r="H36" s="24"/>
      <c r="I36" s="24"/>
      <c r="J36" s="24"/>
      <c r="K36" s="142"/>
      <c r="L36" s="24"/>
      <c r="M36" s="24">
        <f>+C36+SUM(E36:E37)+SUM(I36:I37)</f>
        <v>-6520000</v>
      </c>
    </row>
    <row r="37" spans="1:13">
      <c r="A37" s="51"/>
      <c r="B37" s="51"/>
      <c r="C37" s="24"/>
      <c r="D37" s="24"/>
      <c r="E37" s="24"/>
      <c r="F37" s="24"/>
      <c r="G37" s="142"/>
      <c r="H37" s="24"/>
      <c r="I37" s="24"/>
      <c r="J37" s="24"/>
      <c r="K37" s="142"/>
      <c r="L37" s="24"/>
      <c r="M37" s="24"/>
    </row>
    <row r="38" spans="1:13">
      <c r="A38" s="24"/>
      <c r="B38" s="24" t="s">
        <v>225</v>
      </c>
      <c r="C38" s="37">
        <f>SUM(C29:C37)</f>
        <v>-8895000</v>
      </c>
      <c r="D38" s="24"/>
      <c r="E38" s="37">
        <f>SUM(E29:E37)</f>
        <v>-987000</v>
      </c>
      <c r="F38" s="24"/>
      <c r="G38" s="142"/>
      <c r="H38" s="24"/>
      <c r="I38" s="37">
        <f>SUM(I29:I37)</f>
        <v>187000</v>
      </c>
      <c r="J38" s="24"/>
      <c r="K38" s="142"/>
      <c r="L38" s="24"/>
      <c r="M38" s="37">
        <f>SUM(M29:M37)</f>
        <v>-9695000</v>
      </c>
    </row>
    <row r="39" spans="1:13">
      <c r="A39" s="24"/>
      <c r="B39" s="24" t="s">
        <v>226</v>
      </c>
      <c r="C39" s="37">
        <f>+C38+C26</f>
        <v>12005000</v>
      </c>
      <c r="D39" s="24"/>
      <c r="E39" s="37">
        <f>+E38+E26</f>
        <v>-897000</v>
      </c>
      <c r="F39" s="24"/>
      <c r="G39" s="142"/>
      <c r="H39" s="24"/>
      <c r="I39" s="37">
        <f>+I38+I26</f>
        <v>-113000</v>
      </c>
      <c r="J39" s="24"/>
      <c r="K39" s="142"/>
      <c r="L39" s="24"/>
      <c r="M39" s="37">
        <f>+M38+M26</f>
        <v>10995000</v>
      </c>
    </row>
    <row r="40" spans="1:13" ht="16" thickBot="1">
      <c r="A40" s="24" t="s">
        <v>227</v>
      </c>
      <c r="B40" s="24"/>
      <c r="C40" s="55">
        <f>+C39+C13</f>
        <v>14505000</v>
      </c>
      <c r="D40" s="24"/>
      <c r="E40" s="55">
        <f>+E39+E13</f>
        <v>413000</v>
      </c>
      <c r="F40" s="24"/>
      <c r="G40" s="142"/>
      <c r="H40" s="24"/>
      <c r="I40" s="55">
        <f>+I39+I13</f>
        <v>-113000</v>
      </c>
      <c r="J40" s="24"/>
      <c r="K40" s="142"/>
      <c r="L40" s="24"/>
      <c r="M40" s="55">
        <f>+M39+M13</f>
        <v>14805000</v>
      </c>
    </row>
    <row r="41" spans="1:13" ht="16" thickTop="1">
      <c r="A41" s="24"/>
      <c r="B41" s="24"/>
      <c r="C41" s="24"/>
      <c r="D41" s="24"/>
      <c r="E41" s="24"/>
      <c r="F41" s="24"/>
      <c r="G41" s="142"/>
      <c r="H41" s="24"/>
      <c r="I41" s="24"/>
      <c r="J41" s="24"/>
      <c r="K41" s="142"/>
      <c r="L41" s="24"/>
      <c r="M41" s="24"/>
    </row>
    <row r="42" spans="1:13">
      <c r="A42" s="24"/>
      <c r="B42" s="24"/>
      <c r="C42" s="24"/>
      <c r="D42" s="24"/>
      <c r="E42" s="24"/>
      <c r="F42" s="24"/>
      <c r="G42" s="142"/>
      <c r="H42" s="24"/>
      <c r="I42" s="24"/>
      <c r="J42" s="24"/>
      <c r="K42" s="142"/>
      <c r="L42" s="24"/>
      <c r="M42" s="24"/>
    </row>
  </sheetData>
  <mergeCells count="3">
    <mergeCell ref="A1:M1"/>
    <mergeCell ref="A2:M2"/>
    <mergeCell ref="A3:M3"/>
  </mergeCells>
  <pageMargins left="0.7" right="0.7" top="0.75" bottom="0.75" header="0.3" footer="0.3"/>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workbookViewId="0">
      <selection sqref="A1:I1"/>
    </sheetView>
  </sheetViews>
  <sheetFormatPr baseColWidth="10" defaultColWidth="8.5703125" defaultRowHeight="15" x14ac:dyDescent="0"/>
  <cols>
    <col min="1" max="1" width="2.5703125" customWidth="1"/>
    <col min="2" max="2" width="35.5703125" customWidth="1"/>
    <col min="3" max="3" width="10.5703125" customWidth="1"/>
    <col min="4" max="4" width="0.85546875" customWidth="1"/>
    <col min="5" max="5" width="10.5703125" customWidth="1"/>
    <col min="6" max="6" width="0.85546875" customWidth="1"/>
    <col min="7" max="7" width="10.5703125" customWidth="1"/>
    <col min="8" max="8" width="0.5703125" customWidth="1"/>
    <col min="9" max="9" width="10.5703125" customWidth="1"/>
  </cols>
  <sheetData>
    <row r="1" spans="1:9">
      <c r="A1" s="154" t="s">
        <v>0</v>
      </c>
      <c r="B1" s="154"/>
      <c r="C1" s="154"/>
      <c r="D1" s="154"/>
      <c r="E1" s="154"/>
      <c r="F1" s="154"/>
      <c r="G1" s="154"/>
      <c r="H1" s="154"/>
      <c r="I1" s="154"/>
    </row>
    <row r="2" spans="1:9">
      <c r="A2" s="154" t="s">
        <v>228</v>
      </c>
      <c r="B2" s="154"/>
      <c r="C2" s="154"/>
      <c r="D2" s="154"/>
      <c r="E2" s="154"/>
      <c r="F2" s="154"/>
      <c r="G2" s="154"/>
      <c r="H2" s="154"/>
      <c r="I2" s="154"/>
    </row>
    <row r="3" spans="1:9">
      <c r="A3" s="154" t="s">
        <v>59</v>
      </c>
      <c r="B3" s="154"/>
      <c r="C3" s="154"/>
      <c r="D3" s="154"/>
      <c r="E3" s="154"/>
      <c r="F3" s="154"/>
      <c r="G3" s="154"/>
      <c r="H3" s="154"/>
      <c r="I3" s="154"/>
    </row>
    <row r="4" spans="1:9">
      <c r="A4" s="24"/>
      <c r="B4" s="24"/>
      <c r="C4" s="24"/>
      <c r="D4" s="24"/>
      <c r="E4" s="24"/>
      <c r="F4" s="24"/>
      <c r="G4" s="24"/>
      <c r="H4" s="24"/>
      <c r="I4" s="24"/>
    </row>
    <row r="5" spans="1:9">
      <c r="A5" s="24"/>
      <c r="B5" s="24"/>
      <c r="C5" s="142" t="s">
        <v>214</v>
      </c>
      <c r="D5" s="142"/>
      <c r="E5" s="142"/>
      <c r="F5" s="142"/>
      <c r="G5" s="142"/>
      <c r="H5" s="142"/>
      <c r="I5" s="142" t="s">
        <v>216</v>
      </c>
    </row>
    <row r="6" spans="1:9">
      <c r="A6" s="24"/>
      <c r="B6" s="24"/>
      <c r="C6" s="142" t="s">
        <v>217</v>
      </c>
      <c r="D6" s="142"/>
      <c r="E6" s="142" t="s">
        <v>218</v>
      </c>
      <c r="F6" s="142"/>
      <c r="G6" s="142" t="s">
        <v>219</v>
      </c>
      <c r="H6" s="142"/>
      <c r="I6" s="142" t="s">
        <v>217</v>
      </c>
    </row>
    <row r="7" spans="1:9">
      <c r="A7" s="24" t="s">
        <v>220</v>
      </c>
      <c r="B7" s="24"/>
      <c r="C7" s="24"/>
      <c r="D7" s="24"/>
      <c r="E7" s="24"/>
      <c r="F7" s="24"/>
      <c r="G7" s="24"/>
      <c r="H7" s="24"/>
      <c r="I7" s="24"/>
    </row>
    <row r="8" spans="1:9">
      <c r="A8" s="24" t="s">
        <v>174</v>
      </c>
      <c r="B8" s="24"/>
      <c r="C8" s="56"/>
      <c r="D8" s="56"/>
      <c r="E8" s="56"/>
      <c r="F8" s="56"/>
      <c r="G8" s="57"/>
      <c r="H8" s="56"/>
      <c r="I8" s="56"/>
    </row>
    <row r="9" spans="1:9">
      <c r="A9" s="24" t="s">
        <v>181</v>
      </c>
      <c r="B9" s="24"/>
      <c r="C9" s="24"/>
      <c r="D9" s="24"/>
      <c r="E9" s="24"/>
      <c r="F9" s="24"/>
      <c r="G9" s="24"/>
      <c r="H9" s="24"/>
      <c r="I9" s="24"/>
    </row>
    <row r="10" spans="1:9">
      <c r="A10" s="24"/>
      <c r="B10" s="24" t="s">
        <v>221</v>
      </c>
      <c r="C10" s="37"/>
      <c r="D10" s="24"/>
      <c r="E10" s="37"/>
      <c r="F10" s="24"/>
      <c r="G10" s="37"/>
      <c r="H10" s="24"/>
      <c r="I10" s="37"/>
    </row>
    <row r="11" spans="1:9">
      <c r="A11" s="24"/>
      <c r="B11" s="24"/>
      <c r="C11" s="24"/>
      <c r="D11" s="24"/>
      <c r="E11" s="24"/>
      <c r="F11" s="24"/>
      <c r="G11" s="24"/>
      <c r="H11" s="24"/>
      <c r="I11" s="24"/>
    </row>
    <row r="12" spans="1:9">
      <c r="A12" s="24" t="s">
        <v>222</v>
      </c>
      <c r="B12" s="24"/>
      <c r="C12" s="24"/>
      <c r="D12" s="24"/>
      <c r="E12" s="24"/>
      <c r="F12" s="24"/>
      <c r="G12" s="24"/>
      <c r="H12" s="24"/>
      <c r="I12" s="24"/>
    </row>
    <row r="13" spans="1:9">
      <c r="A13" s="24" t="s">
        <v>175</v>
      </c>
      <c r="B13" s="24"/>
      <c r="C13" s="24"/>
      <c r="D13" s="24"/>
      <c r="E13" s="24"/>
      <c r="F13" s="24"/>
      <c r="G13" s="24"/>
      <c r="H13" s="24"/>
      <c r="I13" s="24"/>
    </row>
    <row r="14" spans="1:9">
      <c r="A14" s="24" t="s">
        <v>177</v>
      </c>
      <c r="B14" s="24"/>
      <c r="C14" s="24"/>
      <c r="D14" s="24"/>
      <c r="E14" s="24"/>
      <c r="F14" s="24"/>
      <c r="G14" s="24"/>
      <c r="H14" s="24"/>
      <c r="I14" s="24"/>
    </row>
    <row r="15" spans="1:9">
      <c r="A15" s="24" t="s">
        <v>189</v>
      </c>
      <c r="B15" s="24"/>
      <c r="C15" s="24"/>
      <c r="D15" s="24"/>
      <c r="E15" s="24"/>
      <c r="F15" s="24"/>
      <c r="G15" s="24"/>
      <c r="H15" s="24"/>
      <c r="I15" s="24"/>
    </row>
    <row r="16" spans="1:9">
      <c r="A16" s="24" t="s">
        <v>179</v>
      </c>
      <c r="B16" s="24"/>
      <c r="C16" s="24"/>
      <c r="D16" s="24"/>
      <c r="E16" s="24"/>
      <c r="F16" s="24"/>
      <c r="G16" s="24"/>
      <c r="H16" s="24"/>
      <c r="I16" s="24"/>
    </row>
    <row r="17" spans="1:9">
      <c r="A17" s="24"/>
      <c r="B17" s="24" t="s">
        <v>223</v>
      </c>
      <c r="C17" s="37"/>
      <c r="D17" s="24"/>
      <c r="E17" s="37"/>
      <c r="F17" s="24"/>
      <c r="G17" s="37"/>
      <c r="H17" s="24"/>
      <c r="I17" s="37"/>
    </row>
    <row r="18" spans="1:9">
      <c r="A18" s="24"/>
      <c r="B18" s="24"/>
      <c r="C18" s="24"/>
      <c r="D18" s="24"/>
      <c r="E18" s="24"/>
      <c r="F18" s="24"/>
      <c r="G18" s="24"/>
      <c r="H18" s="24"/>
      <c r="I18" s="24"/>
    </row>
    <row r="19" spans="1:9">
      <c r="A19" s="24" t="s">
        <v>224</v>
      </c>
      <c r="B19" s="24"/>
      <c r="C19" s="24"/>
      <c r="D19" s="24"/>
      <c r="E19" s="24"/>
      <c r="F19" s="24"/>
      <c r="G19" s="24"/>
      <c r="H19" s="24"/>
      <c r="I19" s="24"/>
    </row>
    <row r="20" spans="1:9">
      <c r="A20" s="24" t="s">
        <v>175</v>
      </c>
      <c r="B20" s="24"/>
      <c r="C20" s="24"/>
      <c r="D20" s="24"/>
      <c r="E20" s="24"/>
      <c r="F20" s="24"/>
      <c r="G20" s="24"/>
      <c r="H20" s="24"/>
      <c r="I20" s="24"/>
    </row>
    <row r="21" spans="1:9">
      <c r="A21" s="24" t="s">
        <v>177</v>
      </c>
      <c r="B21" s="24"/>
      <c r="C21" s="24"/>
      <c r="D21" s="24"/>
      <c r="E21" s="24"/>
      <c r="F21" s="24"/>
      <c r="G21" s="24"/>
      <c r="H21" s="24"/>
      <c r="I21" s="24"/>
    </row>
    <row r="22" spans="1:9">
      <c r="A22" s="53" t="s">
        <v>189</v>
      </c>
      <c r="B22" s="53"/>
      <c r="C22" s="24"/>
      <c r="D22" s="24"/>
      <c r="E22" s="24"/>
      <c r="F22" s="24"/>
      <c r="G22" s="24"/>
      <c r="H22" s="24"/>
      <c r="I22" s="24"/>
    </row>
    <row r="23" spans="1:9">
      <c r="A23" s="24" t="s">
        <v>179</v>
      </c>
      <c r="B23" s="24"/>
      <c r="C23" s="24"/>
      <c r="D23" s="24"/>
      <c r="E23" s="24"/>
      <c r="F23" s="24"/>
      <c r="G23" s="24"/>
      <c r="H23" s="24"/>
      <c r="I23" s="24"/>
    </row>
    <row r="24" spans="1:9">
      <c r="A24" s="24"/>
      <c r="B24" s="24" t="s">
        <v>225</v>
      </c>
      <c r="C24" s="37"/>
      <c r="D24" s="24"/>
      <c r="E24" s="37"/>
      <c r="F24" s="24"/>
      <c r="G24" s="37"/>
      <c r="H24" s="24"/>
      <c r="I24" s="37"/>
    </row>
    <row r="25" spans="1:9">
      <c r="A25" s="24"/>
      <c r="B25" s="24" t="s">
        <v>226</v>
      </c>
      <c r="C25" s="24"/>
      <c r="D25" s="24"/>
      <c r="E25" s="24"/>
      <c r="F25" s="24"/>
      <c r="G25" s="24"/>
      <c r="H25" s="24"/>
      <c r="I25" s="24"/>
    </row>
    <row r="26" spans="1:9" ht="16" thickBot="1">
      <c r="A26" s="24" t="s">
        <v>227</v>
      </c>
      <c r="B26" s="24"/>
      <c r="C26" s="30"/>
      <c r="D26" s="39"/>
      <c r="E26" s="30"/>
      <c r="F26" s="39"/>
      <c r="G26" s="30"/>
      <c r="H26" s="39"/>
      <c r="I26" s="30"/>
    </row>
    <row r="27" spans="1:9" ht="16" thickTop="1">
      <c r="A27" s="24"/>
      <c r="B27" s="24"/>
      <c r="C27" s="24"/>
      <c r="D27" s="24"/>
      <c r="E27" s="24"/>
      <c r="F27" s="24"/>
      <c r="G27" s="24"/>
      <c r="H27" s="24"/>
      <c r="I27" s="24"/>
    </row>
    <row r="28" spans="1:9">
      <c r="A28" s="24" t="s">
        <v>229</v>
      </c>
      <c r="B28" s="24"/>
      <c r="C28" s="24"/>
      <c r="D28" s="24"/>
      <c r="E28" s="24"/>
      <c r="F28" s="24"/>
      <c r="G28" s="24"/>
      <c r="H28" s="24"/>
      <c r="I28" s="24"/>
    </row>
    <row r="29" spans="1:9">
      <c r="A29" s="24"/>
      <c r="B29" s="67" t="s">
        <v>230</v>
      </c>
      <c r="C29" s="139">
        <v>58000</v>
      </c>
      <c r="D29" s="24"/>
      <c r="E29" s="24"/>
      <c r="F29" s="24"/>
      <c r="G29" s="24"/>
      <c r="H29" s="24"/>
      <c r="I29" s="24"/>
    </row>
    <row r="30" spans="1:9">
      <c r="A30" s="24"/>
      <c r="B30" s="67" t="s">
        <v>231</v>
      </c>
      <c r="C30" s="67">
        <v>160000</v>
      </c>
      <c r="D30" s="24"/>
      <c r="E30" s="24"/>
      <c r="F30" s="24"/>
      <c r="G30" s="24"/>
      <c r="H30" s="24"/>
      <c r="I30" s="24"/>
    </row>
    <row r="31" spans="1:9">
      <c r="A31" s="24"/>
      <c r="B31" s="67" t="s">
        <v>232</v>
      </c>
      <c r="C31" s="67">
        <f>50000+97000+520000</f>
        <v>667000</v>
      </c>
      <c r="D31" s="24"/>
      <c r="E31" s="24"/>
      <c r="F31" s="24"/>
      <c r="G31" s="24"/>
      <c r="H31" s="24"/>
      <c r="I31" s="24"/>
    </row>
    <row r="32" spans="1:9">
      <c r="A32" s="24"/>
      <c r="B32" s="67" t="s">
        <v>233</v>
      </c>
      <c r="C32" s="67">
        <f>35000+30000</f>
        <v>65000</v>
      </c>
      <c r="D32" s="24"/>
      <c r="E32" s="24"/>
      <c r="F32" s="24"/>
      <c r="G32" s="24"/>
      <c r="H32" s="24"/>
      <c r="I32" s="24"/>
    </row>
    <row r="33" spans="1:9">
      <c r="A33" s="24"/>
      <c r="B33" s="67" t="s">
        <v>234</v>
      </c>
      <c r="C33" s="67">
        <v>37000</v>
      </c>
      <c r="D33" s="24"/>
      <c r="E33" s="24"/>
      <c r="F33" s="24"/>
      <c r="G33" s="24"/>
      <c r="H33" s="24"/>
      <c r="I33" s="24"/>
    </row>
    <row r="34" spans="1:9">
      <c r="A34" s="24"/>
      <c r="B34" s="67"/>
      <c r="C34" s="67"/>
      <c r="D34" s="24"/>
      <c r="E34" s="24"/>
      <c r="F34" s="24"/>
      <c r="G34" s="24"/>
      <c r="H34" s="24"/>
      <c r="I34" s="24"/>
    </row>
    <row r="35" spans="1:9">
      <c r="A35" s="24"/>
      <c r="B35" s="67" t="s">
        <v>235</v>
      </c>
      <c r="C35" s="67">
        <v>8370</v>
      </c>
      <c r="D35" s="24"/>
      <c r="E35" s="24"/>
      <c r="F35" s="24"/>
      <c r="G35" s="24"/>
      <c r="H35" s="24"/>
      <c r="I35" s="24"/>
    </row>
    <row r="36" spans="1:9" ht="16" thickBot="1">
      <c r="A36" s="24"/>
      <c r="B36" s="67" t="s">
        <v>236</v>
      </c>
      <c r="C36" s="140">
        <f>SUM(C29:C35)</f>
        <v>995370</v>
      </c>
      <c r="D36" s="24"/>
      <c r="E36" s="24"/>
      <c r="F36" s="24"/>
      <c r="G36" s="24"/>
      <c r="H36" s="24"/>
      <c r="I36" s="24"/>
    </row>
    <row r="37" spans="1:9" ht="16" thickTop="1">
      <c r="A37" s="24"/>
      <c r="B37" s="24"/>
      <c r="C37" s="24"/>
      <c r="D37" s="24"/>
      <c r="E37" s="24"/>
      <c r="F37" s="24"/>
      <c r="G37" s="24"/>
      <c r="H37" s="24"/>
      <c r="I37" s="24"/>
    </row>
  </sheetData>
  <mergeCells count="3">
    <mergeCell ref="A1:I1"/>
    <mergeCell ref="A2:I2"/>
    <mergeCell ref="A3:I3"/>
  </mergeCells>
  <pageMargins left="0.7" right="0.7" top="0.75" bottom="0.75" header="0.3" footer="0.3"/>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O29"/>
  <sheetViews>
    <sheetView workbookViewId="0">
      <selection activeCell="J23" sqref="J23"/>
    </sheetView>
  </sheetViews>
  <sheetFormatPr baseColWidth="10" defaultColWidth="8.5703125" defaultRowHeight="15" x14ac:dyDescent="0"/>
  <cols>
    <col min="1" max="1" width="2.5703125" customWidth="1"/>
    <col min="2" max="2" width="35.5703125" customWidth="1"/>
    <col min="3" max="3" width="10.5703125" customWidth="1"/>
    <col min="4" max="4" width="0.85546875" customWidth="1"/>
    <col min="5" max="5" width="10.5703125" customWidth="1"/>
    <col min="6" max="6" width="0.85546875" customWidth="1"/>
    <col min="7" max="7" width="5.5703125" customWidth="1"/>
    <col min="8" max="8" width="0.85546875" customWidth="1"/>
    <col min="9" max="9" width="10.5703125" customWidth="1"/>
    <col min="10" max="10" width="0.85546875" customWidth="1"/>
    <col min="11" max="11" width="5.5703125" customWidth="1"/>
    <col min="12" max="12" width="0.85546875" customWidth="1"/>
    <col min="13" max="13" width="10.5703125" customWidth="1"/>
    <col min="14" max="14" width="0.85546875" customWidth="1"/>
    <col min="15" max="15" width="10.5703125" customWidth="1"/>
  </cols>
  <sheetData>
    <row r="1" spans="1:15">
      <c r="A1" s="152" t="s">
        <v>0</v>
      </c>
      <c r="B1" s="152"/>
      <c r="C1" s="152"/>
      <c r="D1" s="152"/>
      <c r="E1" s="152"/>
      <c r="F1" s="152"/>
      <c r="G1" s="152"/>
      <c r="H1" s="152"/>
      <c r="I1" s="152"/>
      <c r="J1" s="152"/>
      <c r="K1" s="152"/>
      <c r="L1" s="152"/>
      <c r="M1" s="152"/>
      <c r="N1" s="152"/>
      <c r="O1" s="152"/>
    </row>
    <row r="2" spans="1:15">
      <c r="A2" s="152" t="s">
        <v>237</v>
      </c>
      <c r="B2" s="152"/>
      <c r="C2" s="152"/>
      <c r="D2" s="152"/>
      <c r="E2" s="152"/>
      <c r="F2" s="152"/>
      <c r="G2" s="152"/>
      <c r="H2" s="152"/>
      <c r="I2" s="152"/>
      <c r="J2" s="152"/>
      <c r="K2" s="152"/>
      <c r="L2" s="152"/>
      <c r="M2" s="152"/>
      <c r="N2" s="152"/>
      <c r="O2" s="152"/>
    </row>
    <row r="3" spans="1:15">
      <c r="A3" s="152" t="s">
        <v>2</v>
      </c>
      <c r="B3" s="152"/>
      <c r="C3" s="152"/>
      <c r="D3" s="152"/>
      <c r="E3" s="152"/>
      <c r="F3" s="152"/>
      <c r="G3" s="152"/>
      <c r="H3" s="152"/>
      <c r="I3" s="152"/>
      <c r="J3" s="152"/>
      <c r="K3" s="152"/>
      <c r="L3" s="152"/>
      <c r="M3" s="152"/>
      <c r="N3" s="152"/>
      <c r="O3" s="152"/>
    </row>
    <row r="4" spans="1:15">
      <c r="A4" s="24"/>
      <c r="B4" s="24"/>
      <c r="C4" s="142"/>
      <c r="D4" s="142"/>
      <c r="E4" s="142"/>
      <c r="F4" s="142"/>
      <c r="G4" s="142"/>
      <c r="H4" s="142"/>
      <c r="I4" s="142"/>
      <c r="J4" s="142"/>
      <c r="K4" s="142"/>
      <c r="L4" s="142"/>
      <c r="M4" s="142"/>
      <c r="N4" s="142"/>
      <c r="O4" s="142" t="s">
        <v>238</v>
      </c>
    </row>
    <row r="5" spans="1:15">
      <c r="A5" s="24"/>
      <c r="B5" s="24"/>
      <c r="C5" s="142" t="s">
        <v>214</v>
      </c>
      <c r="D5" s="142"/>
      <c r="E5" s="142"/>
      <c r="F5" s="142"/>
      <c r="G5" s="142" t="s">
        <v>215</v>
      </c>
      <c r="H5" s="142"/>
      <c r="I5" s="142"/>
      <c r="J5" s="142"/>
      <c r="K5" s="142" t="s">
        <v>215</v>
      </c>
      <c r="L5" s="142"/>
      <c r="M5" s="142" t="s">
        <v>216</v>
      </c>
      <c r="N5" s="142"/>
      <c r="O5" s="142" t="s">
        <v>239</v>
      </c>
    </row>
    <row r="6" spans="1:15">
      <c r="A6" s="24"/>
      <c r="B6" s="24"/>
      <c r="C6" s="142" t="s">
        <v>217</v>
      </c>
      <c r="D6" s="142"/>
      <c r="E6" s="142" t="s">
        <v>218</v>
      </c>
      <c r="F6" s="142"/>
      <c r="G6" s="142" t="s">
        <v>13</v>
      </c>
      <c r="H6" s="142"/>
      <c r="I6" s="142" t="s">
        <v>219</v>
      </c>
      <c r="J6" s="142"/>
      <c r="K6" s="142" t="s">
        <v>13</v>
      </c>
      <c r="L6" s="142"/>
      <c r="M6" s="142" t="s">
        <v>217</v>
      </c>
      <c r="N6" s="142"/>
      <c r="O6" s="142" t="s">
        <v>240</v>
      </c>
    </row>
    <row r="7" spans="1:15">
      <c r="A7" s="24" t="s">
        <v>241</v>
      </c>
      <c r="B7" s="24"/>
      <c r="C7" s="24"/>
      <c r="D7" s="24"/>
      <c r="E7" s="24"/>
      <c r="F7" s="24"/>
      <c r="G7" s="142"/>
      <c r="H7" s="24"/>
      <c r="I7" s="24"/>
      <c r="J7" s="24"/>
      <c r="K7" s="142"/>
      <c r="L7" s="24"/>
      <c r="M7" s="24"/>
      <c r="N7" s="24"/>
      <c r="O7" s="24"/>
    </row>
    <row r="8" spans="1:15">
      <c r="A8" s="24" t="s">
        <v>182</v>
      </c>
      <c r="B8" s="24"/>
      <c r="C8" s="24">
        <f>+'GCA-GLTL'!E28</f>
        <v>9000000</v>
      </c>
      <c r="D8" s="24"/>
      <c r="E8" s="24">
        <v>1500000</v>
      </c>
      <c r="F8" s="24"/>
      <c r="G8" s="52"/>
      <c r="H8" s="24"/>
      <c r="I8" s="24">
        <v>-500000</v>
      </c>
      <c r="J8" s="24"/>
      <c r="K8" s="52"/>
      <c r="L8" s="24"/>
      <c r="M8" s="24">
        <f>SUM(C8:C10)+SUM(E8:E10)+SUM(I8:I10)</f>
        <v>10000000</v>
      </c>
      <c r="N8" s="24"/>
      <c r="O8" s="24">
        <v>600000</v>
      </c>
    </row>
    <row r="9" spans="1:15">
      <c r="A9" s="24"/>
      <c r="B9" s="24"/>
      <c r="C9" s="24"/>
      <c r="D9" s="24"/>
      <c r="E9" s="24"/>
      <c r="F9" s="24"/>
      <c r="G9" s="52"/>
      <c r="H9" s="24"/>
      <c r="I9" s="24"/>
      <c r="J9" s="24"/>
      <c r="K9" s="52"/>
      <c r="L9" s="24"/>
      <c r="M9" s="24"/>
      <c r="N9" s="24"/>
      <c r="O9" s="24"/>
    </row>
    <row r="10" spans="1:15">
      <c r="A10" s="51"/>
      <c r="B10" s="51"/>
      <c r="C10" s="24"/>
      <c r="D10" s="24"/>
      <c r="E10" s="24"/>
      <c r="F10" s="24"/>
      <c r="G10" s="142"/>
      <c r="H10" s="24"/>
      <c r="I10" s="24"/>
      <c r="J10" s="24"/>
      <c r="K10" s="142"/>
      <c r="L10" s="24"/>
      <c r="M10" s="24"/>
      <c r="N10" s="24"/>
      <c r="O10" s="24"/>
    </row>
    <row r="11" spans="1:15">
      <c r="A11" s="24" t="s">
        <v>183</v>
      </c>
      <c r="B11" s="24"/>
      <c r="C11" s="24">
        <f>+'GCA-GLTL'!E31</f>
        <v>180000</v>
      </c>
      <c r="D11" s="24"/>
      <c r="E11" s="24">
        <v>50000</v>
      </c>
      <c r="F11" s="24"/>
      <c r="G11" s="52"/>
      <c r="H11" s="24"/>
      <c r="I11" s="24">
        <v>-3330</v>
      </c>
      <c r="J11" s="24"/>
      <c r="K11" s="52"/>
      <c r="L11" s="24"/>
      <c r="M11" s="24">
        <f>SUM(C11:C14)+SUM(E11:E14)+SUM(I11:I14)</f>
        <v>226670</v>
      </c>
      <c r="N11" s="24"/>
      <c r="O11" s="24">
        <v>3330</v>
      </c>
    </row>
    <row r="12" spans="1:15">
      <c r="A12" s="24"/>
      <c r="B12" s="24"/>
      <c r="C12" s="24"/>
      <c r="D12" s="24"/>
      <c r="E12" s="24"/>
      <c r="F12" s="24"/>
      <c r="G12" s="52"/>
      <c r="H12" s="24"/>
      <c r="I12" s="24"/>
      <c r="J12" s="24"/>
      <c r="K12" s="52"/>
      <c r="L12" s="24"/>
      <c r="M12" s="24"/>
      <c r="N12" s="24"/>
      <c r="O12" s="24"/>
    </row>
    <row r="13" spans="1:15">
      <c r="A13" s="24"/>
      <c r="B13" s="24"/>
      <c r="C13" s="24"/>
      <c r="D13" s="24"/>
      <c r="E13" s="24"/>
      <c r="F13" s="24"/>
      <c r="G13" s="52"/>
      <c r="H13" s="24"/>
      <c r="I13" s="24"/>
      <c r="J13" s="24"/>
      <c r="K13" s="52"/>
      <c r="L13" s="24"/>
      <c r="M13" s="24"/>
      <c r="N13" s="24"/>
      <c r="O13" s="24"/>
    </row>
    <row r="14" spans="1:15">
      <c r="A14" s="51"/>
      <c r="B14" s="51"/>
      <c r="C14" s="24"/>
      <c r="D14" s="24"/>
      <c r="E14" s="24"/>
      <c r="F14" s="24"/>
      <c r="G14" s="142"/>
      <c r="H14" s="24"/>
      <c r="I14" s="24"/>
      <c r="J14" s="24"/>
      <c r="K14" s="142"/>
      <c r="L14" s="24"/>
      <c r="M14" s="24"/>
      <c r="N14" s="24"/>
      <c r="O14" s="24"/>
    </row>
    <row r="15" spans="1:15">
      <c r="A15" s="24" t="s">
        <v>187</v>
      </c>
      <c r="B15" s="24"/>
      <c r="C15" s="24">
        <v>0</v>
      </c>
      <c r="D15" s="24"/>
      <c r="E15" s="24">
        <v>80000</v>
      </c>
      <c r="F15" s="24"/>
      <c r="G15" s="52"/>
      <c r="H15" s="24"/>
      <c r="I15" s="24"/>
      <c r="J15" s="24"/>
      <c r="K15" s="142"/>
      <c r="L15" s="24"/>
      <c r="M15" s="24">
        <f>SUM(C15:C16)+SUM(E15:E16)+SUM(I15:I16)</f>
        <v>80000</v>
      </c>
      <c r="N15" s="24"/>
      <c r="O15" s="24">
        <v>10000</v>
      </c>
    </row>
    <row r="16" spans="1:15">
      <c r="A16" s="51"/>
      <c r="B16" s="51"/>
      <c r="C16" s="24"/>
      <c r="D16" s="24"/>
      <c r="E16" s="24"/>
      <c r="F16" s="24"/>
      <c r="G16" s="142"/>
      <c r="H16" s="24"/>
      <c r="I16" s="24"/>
      <c r="J16" s="24"/>
      <c r="K16" s="142"/>
      <c r="L16" s="24"/>
      <c r="M16" s="24"/>
      <c r="N16" s="24"/>
      <c r="O16" s="24"/>
    </row>
    <row r="17" spans="1:15">
      <c r="A17" s="24" t="s">
        <v>188</v>
      </c>
      <c r="B17" s="24"/>
      <c r="C17" s="24">
        <v>0</v>
      </c>
      <c r="D17" s="24"/>
      <c r="E17" s="24"/>
      <c r="F17" s="24"/>
      <c r="G17" s="52"/>
      <c r="H17" s="24"/>
      <c r="I17" s="24"/>
      <c r="J17" s="24"/>
      <c r="K17" s="142"/>
      <c r="L17" s="24"/>
      <c r="M17" s="24">
        <f>SUM(C17:C18)+SUM(E17:E18)+SUM(I17:I18)</f>
        <v>0</v>
      </c>
      <c r="N17" s="24"/>
      <c r="O17" s="24"/>
    </row>
    <row r="18" spans="1:15">
      <c r="A18" s="51"/>
      <c r="B18" s="51"/>
      <c r="C18" s="24"/>
      <c r="D18" s="24"/>
      <c r="E18" s="24"/>
      <c r="F18" s="24"/>
      <c r="G18" s="142"/>
      <c r="H18" s="24"/>
      <c r="I18" s="24"/>
      <c r="J18" s="24"/>
      <c r="K18" s="142"/>
      <c r="L18" s="24"/>
      <c r="M18" s="24"/>
      <c r="N18" s="24"/>
      <c r="O18" s="24"/>
    </row>
    <row r="19" spans="1:15">
      <c r="A19" s="24"/>
      <c r="B19" s="24" t="s">
        <v>242</v>
      </c>
      <c r="C19" s="37">
        <f>SUM(C8:C18)</f>
        <v>9180000</v>
      </c>
      <c r="D19" s="24"/>
      <c r="E19" s="37">
        <f>SUM(E8:E18)</f>
        <v>1630000</v>
      </c>
      <c r="F19" s="24"/>
      <c r="G19" s="142"/>
      <c r="H19" s="24"/>
      <c r="I19" s="37">
        <f>SUM(I8:I18)</f>
        <v>-503330</v>
      </c>
      <c r="J19" s="24"/>
      <c r="K19" s="142"/>
      <c r="L19" s="24"/>
      <c r="M19" s="37">
        <f>SUM(M8:M18)</f>
        <v>10306670</v>
      </c>
      <c r="N19" s="24"/>
      <c r="O19" s="37">
        <f>SUM(O8:O18)</f>
        <v>613330</v>
      </c>
    </row>
    <row r="20" spans="1:15">
      <c r="A20" s="24"/>
      <c r="B20" s="24"/>
      <c r="C20" s="24"/>
      <c r="D20" s="24"/>
      <c r="E20" s="24"/>
      <c r="F20" s="24"/>
      <c r="G20" s="142"/>
      <c r="H20" s="24"/>
      <c r="I20" s="24"/>
      <c r="J20" s="24"/>
      <c r="K20" s="142"/>
      <c r="L20" s="24"/>
      <c r="M20" s="24"/>
      <c r="N20" s="24"/>
      <c r="O20" s="24"/>
    </row>
    <row r="21" spans="1:15">
      <c r="A21" s="24" t="s">
        <v>243</v>
      </c>
      <c r="B21" s="24"/>
      <c r="C21" s="24"/>
      <c r="D21" s="24"/>
      <c r="E21" s="24"/>
      <c r="F21" s="24"/>
      <c r="G21" s="142"/>
      <c r="H21" s="24"/>
      <c r="I21" s="24"/>
      <c r="J21" s="24"/>
      <c r="K21" s="142"/>
      <c r="L21" s="24"/>
      <c r="M21" s="24"/>
      <c r="N21" s="24"/>
      <c r="O21" s="24"/>
    </row>
    <row r="22" spans="1:15">
      <c r="A22" s="24" t="s">
        <v>244</v>
      </c>
      <c r="B22" s="24"/>
      <c r="C22" s="24">
        <f>+'GCA-GLTL'!E35</f>
        <v>700000</v>
      </c>
      <c r="D22" s="24"/>
      <c r="E22" s="24"/>
      <c r="F22" s="24"/>
      <c r="G22" s="52"/>
      <c r="H22" s="24"/>
      <c r="I22" s="24"/>
      <c r="J22" s="24"/>
      <c r="K22" s="142"/>
      <c r="L22" s="24"/>
      <c r="M22" s="24">
        <f>SUM(C22:C23)+SUM(E22:E23)+SUM(I22:I23)</f>
        <v>700000</v>
      </c>
      <c r="N22" s="24"/>
      <c r="O22" s="24"/>
    </row>
    <row r="23" spans="1:15">
      <c r="A23" s="51"/>
      <c r="B23" s="51"/>
      <c r="C23" s="24"/>
      <c r="D23" s="24"/>
      <c r="E23" s="24"/>
      <c r="F23" s="24"/>
      <c r="G23" s="142"/>
      <c r="H23" s="24"/>
      <c r="I23" s="24"/>
      <c r="J23" s="24"/>
      <c r="K23" s="142"/>
      <c r="L23" s="24"/>
      <c r="M23" s="24"/>
      <c r="N23" s="24"/>
      <c r="O23" s="24"/>
    </row>
    <row r="24" spans="1:15">
      <c r="A24" s="24" t="s">
        <v>245</v>
      </c>
      <c r="B24" s="24"/>
      <c r="C24" s="24">
        <f>+'GCA-GLTL'!E37</f>
        <v>220000</v>
      </c>
      <c r="D24" s="24"/>
      <c r="E24" s="24">
        <v>20000</v>
      </c>
      <c r="F24" s="24"/>
      <c r="G24" s="52"/>
      <c r="H24" s="24"/>
      <c r="I24" s="24"/>
      <c r="J24" s="24"/>
      <c r="K24" s="142"/>
      <c r="L24" s="24"/>
      <c r="M24" s="24">
        <f>SUM(C24:C25)+SUM(E24:E25)+SUM(I24:I25)</f>
        <v>240000</v>
      </c>
      <c r="N24" s="24"/>
      <c r="O24" s="24"/>
    </row>
    <row r="25" spans="1:15">
      <c r="A25" s="51"/>
      <c r="B25" s="51"/>
      <c r="C25" s="24"/>
      <c r="D25" s="24"/>
      <c r="E25" s="24"/>
      <c r="F25" s="24"/>
      <c r="G25" s="142"/>
      <c r="H25" s="24"/>
      <c r="I25" s="24"/>
      <c r="J25" s="24"/>
      <c r="K25" s="142"/>
      <c r="L25" s="24"/>
      <c r="M25" s="24"/>
      <c r="N25" s="24"/>
      <c r="O25" s="24"/>
    </row>
    <row r="26" spans="1:15">
      <c r="A26" s="24"/>
      <c r="B26" s="24" t="s">
        <v>243</v>
      </c>
      <c r="C26" s="37">
        <f>SUM(C22:C25)</f>
        <v>920000</v>
      </c>
      <c r="D26" s="24"/>
      <c r="E26" s="37">
        <f>SUM(E22:E25)</f>
        <v>20000</v>
      </c>
      <c r="F26" s="24"/>
      <c r="G26" s="142"/>
      <c r="H26" s="24"/>
      <c r="I26" s="37">
        <f>SUM(I22:I25)</f>
        <v>0</v>
      </c>
      <c r="J26" s="24"/>
      <c r="K26" s="142"/>
      <c r="L26" s="24"/>
      <c r="M26" s="37">
        <f>SUM(M22:M25)</f>
        <v>940000</v>
      </c>
      <c r="N26" s="24"/>
      <c r="O26" s="37">
        <f>SUM(O22:O25)</f>
        <v>0</v>
      </c>
    </row>
    <row r="27" spans="1:15">
      <c r="A27" s="24"/>
      <c r="B27" s="24"/>
      <c r="C27" s="24"/>
      <c r="D27" s="24"/>
      <c r="E27" s="24"/>
      <c r="F27" s="24"/>
      <c r="G27" s="142"/>
      <c r="H27" s="24"/>
      <c r="I27" s="24"/>
      <c r="J27" s="24"/>
      <c r="K27" s="142"/>
      <c r="L27" s="24"/>
      <c r="M27" s="24"/>
      <c r="N27" s="24"/>
      <c r="O27" s="24"/>
    </row>
    <row r="28" spans="1:15" ht="16" thickBot="1">
      <c r="A28" s="24" t="s">
        <v>246</v>
      </c>
      <c r="B28" s="24"/>
      <c r="C28" s="55">
        <f>+C26+C19</f>
        <v>10100000</v>
      </c>
      <c r="D28" s="24"/>
      <c r="E28" s="55">
        <f>+E26+E19</f>
        <v>1650000</v>
      </c>
      <c r="F28" s="24"/>
      <c r="G28" s="142"/>
      <c r="H28" s="24"/>
      <c r="I28" s="55">
        <f>+I26+I19</f>
        <v>-503330</v>
      </c>
      <c r="J28" s="24"/>
      <c r="K28" s="142"/>
      <c r="L28" s="24"/>
      <c r="M28" s="55">
        <f>+M26+M19</f>
        <v>11246670</v>
      </c>
      <c r="N28" s="24"/>
      <c r="O28" s="55">
        <f>+O26+O19</f>
        <v>613330</v>
      </c>
    </row>
    <row r="29" spans="1:15" ht="16" thickTop="1">
      <c r="A29" s="24"/>
      <c r="B29" s="24"/>
      <c r="C29" s="24"/>
      <c r="D29" s="24"/>
      <c r="E29" s="24"/>
      <c r="F29" s="24"/>
      <c r="G29" s="142"/>
      <c r="H29" s="24"/>
      <c r="I29" s="24"/>
      <c r="J29" s="24"/>
      <c r="K29" s="142"/>
      <c r="L29" s="24"/>
      <c r="M29" s="24"/>
      <c r="N29" s="24"/>
      <c r="O29" s="24"/>
    </row>
  </sheetData>
  <mergeCells count="3">
    <mergeCell ref="A1:O1"/>
    <mergeCell ref="A2:O2"/>
    <mergeCell ref="A3:O3"/>
  </mergeCells>
  <pageMargins left="0.7" right="0.7" top="0.75" bottom="0.75" header="0.3" footer="0.3"/>
  <extLst>
    <ext xmlns:mx="http://schemas.microsoft.com/office/mac/excel/2008/main" uri="{64002731-A6B0-56B0-2670-7721B7C09600}">
      <mx:PLV Mode="0" OnePage="0" WScale="0"/>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workbookViewId="0">
      <selection sqref="A1:K1"/>
    </sheetView>
  </sheetViews>
  <sheetFormatPr baseColWidth="10" defaultColWidth="8.5703125" defaultRowHeight="15" x14ac:dyDescent="0"/>
  <cols>
    <col min="1" max="1" width="2.5703125" customWidth="1"/>
    <col min="2" max="2" width="35.5703125" customWidth="1"/>
    <col min="3" max="3" width="10.5703125" customWidth="1"/>
    <col min="4" max="4" width="0.85546875" customWidth="1"/>
    <col min="5" max="5" width="10.5703125" customWidth="1"/>
    <col min="6" max="6" width="0.85546875" customWidth="1"/>
    <col min="7" max="7" width="10.5703125" customWidth="1"/>
    <col min="8" max="8" width="0.85546875" customWidth="1"/>
    <col min="9" max="9" width="10.5703125" customWidth="1"/>
    <col min="10" max="10" width="0.85546875" customWidth="1"/>
    <col min="11" max="11" width="10.5703125" customWidth="1"/>
  </cols>
  <sheetData>
    <row r="1" spans="1:11">
      <c r="A1" s="154" t="s">
        <v>0</v>
      </c>
      <c r="B1" s="154"/>
      <c r="C1" s="154"/>
      <c r="D1" s="154"/>
      <c r="E1" s="154"/>
      <c r="F1" s="154"/>
      <c r="G1" s="154"/>
      <c r="H1" s="154"/>
      <c r="I1" s="154"/>
      <c r="J1" s="154"/>
      <c r="K1" s="154"/>
    </row>
    <row r="2" spans="1:11">
      <c r="A2" s="154" t="s">
        <v>247</v>
      </c>
      <c r="B2" s="154"/>
      <c r="C2" s="154"/>
      <c r="D2" s="154"/>
      <c r="E2" s="154"/>
      <c r="F2" s="154"/>
      <c r="G2" s="154"/>
      <c r="H2" s="154"/>
      <c r="I2" s="154"/>
      <c r="J2" s="154"/>
      <c r="K2" s="154"/>
    </row>
    <row r="3" spans="1:11">
      <c r="A3" s="154" t="s">
        <v>59</v>
      </c>
      <c r="B3" s="154"/>
      <c r="C3" s="154"/>
      <c r="D3" s="154"/>
      <c r="E3" s="154"/>
      <c r="F3" s="154"/>
      <c r="G3" s="154"/>
      <c r="H3" s="154"/>
      <c r="I3" s="154"/>
      <c r="J3" s="154"/>
      <c r="K3" s="154"/>
    </row>
    <row r="4" spans="1:11">
      <c r="A4" s="24"/>
      <c r="B4" s="24"/>
      <c r="C4" s="142"/>
      <c r="D4" s="142"/>
      <c r="E4" s="142"/>
      <c r="F4" s="142"/>
      <c r="G4" s="142"/>
      <c r="H4" s="142"/>
      <c r="I4" s="142"/>
      <c r="J4" s="142"/>
      <c r="K4" s="142" t="s">
        <v>238</v>
      </c>
    </row>
    <row r="5" spans="1:11">
      <c r="A5" s="24"/>
      <c r="B5" s="24"/>
      <c r="C5" s="142" t="s">
        <v>214</v>
      </c>
      <c r="D5" s="142"/>
      <c r="E5" s="142"/>
      <c r="F5" s="142"/>
      <c r="G5" s="142"/>
      <c r="H5" s="142"/>
      <c r="I5" s="142" t="s">
        <v>216</v>
      </c>
      <c r="J5" s="142"/>
      <c r="K5" s="142" t="s">
        <v>239</v>
      </c>
    </row>
    <row r="6" spans="1:11">
      <c r="A6" s="24"/>
      <c r="B6" s="24"/>
      <c r="C6" s="142" t="s">
        <v>217</v>
      </c>
      <c r="D6" s="142"/>
      <c r="E6" s="142" t="s">
        <v>218</v>
      </c>
      <c r="F6" s="142"/>
      <c r="G6" s="142" t="s">
        <v>219</v>
      </c>
      <c r="H6" s="142"/>
      <c r="I6" s="142" t="s">
        <v>217</v>
      </c>
      <c r="J6" s="142"/>
      <c r="K6" s="142" t="s">
        <v>240</v>
      </c>
    </row>
    <row r="7" spans="1:11">
      <c r="A7" s="24" t="s">
        <v>241</v>
      </c>
      <c r="B7" s="24"/>
      <c r="C7" s="24"/>
      <c r="D7" s="24"/>
      <c r="E7" s="24"/>
      <c r="F7" s="24"/>
      <c r="G7" s="24"/>
      <c r="H7" s="24"/>
      <c r="I7" s="24"/>
      <c r="J7" s="24"/>
      <c r="K7" s="24"/>
    </row>
    <row r="8" spans="1:11">
      <c r="A8" s="24" t="s">
        <v>182</v>
      </c>
      <c r="B8" s="24"/>
      <c r="C8" s="57"/>
      <c r="D8" s="57"/>
      <c r="E8" s="57"/>
      <c r="F8" s="57"/>
      <c r="G8" s="57"/>
      <c r="H8" s="57"/>
      <c r="I8" s="57"/>
      <c r="J8" s="57"/>
      <c r="K8" s="57"/>
    </row>
    <row r="9" spans="1:11">
      <c r="A9" s="24" t="s">
        <v>183</v>
      </c>
      <c r="B9" s="24"/>
      <c r="C9" s="24"/>
      <c r="D9" s="24"/>
      <c r="E9" s="24"/>
      <c r="F9" s="24"/>
      <c r="G9" s="24"/>
      <c r="H9" s="24"/>
      <c r="I9" s="24"/>
      <c r="J9" s="24"/>
      <c r="K9" s="24"/>
    </row>
    <row r="10" spans="1:11">
      <c r="A10" s="24" t="s">
        <v>187</v>
      </c>
      <c r="B10" s="24"/>
      <c r="C10" s="24"/>
      <c r="D10" s="24"/>
      <c r="E10" s="24"/>
      <c r="F10" s="24"/>
      <c r="G10" s="24"/>
      <c r="H10" s="24"/>
      <c r="I10" s="24"/>
      <c r="J10" s="24"/>
      <c r="K10" s="24"/>
    </row>
    <row r="11" spans="1:11">
      <c r="A11" s="24" t="s">
        <v>188</v>
      </c>
      <c r="B11" s="24"/>
      <c r="C11" s="24"/>
      <c r="D11" s="24"/>
      <c r="E11" s="24"/>
      <c r="F11" s="24"/>
      <c r="G11" s="24"/>
      <c r="H11" s="24"/>
      <c r="I11" s="24"/>
      <c r="J11" s="24"/>
      <c r="K11" s="24"/>
    </row>
    <row r="12" spans="1:11">
      <c r="A12" s="24"/>
      <c r="B12" s="24" t="s">
        <v>242</v>
      </c>
      <c r="C12" s="37"/>
      <c r="D12" s="24"/>
      <c r="E12" s="37"/>
      <c r="F12" s="24"/>
      <c r="G12" s="37"/>
      <c r="H12" s="24"/>
      <c r="I12" s="37"/>
      <c r="J12" s="24"/>
      <c r="K12" s="37"/>
    </row>
    <row r="13" spans="1:11">
      <c r="A13" s="24"/>
      <c r="B13" s="24"/>
      <c r="C13" s="24"/>
      <c r="D13" s="24"/>
      <c r="E13" s="24"/>
      <c r="F13" s="24"/>
      <c r="G13" s="24"/>
      <c r="H13" s="24"/>
      <c r="I13" s="24"/>
      <c r="J13" s="24"/>
      <c r="K13" s="24"/>
    </row>
    <row r="14" spans="1:11">
      <c r="A14" s="24" t="s">
        <v>243</v>
      </c>
      <c r="B14" s="24"/>
      <c r="C14" s="24"/>
      <c r="D14" s="24"/>
      <c r="E14" s="24"/>
      <c r="F14" s="24"/>
      <c r="G14" s="24"/>
      <c r="H14" s="24"/>
      <c r="I14" s="24"/>
      <c r="J14" s="24"/>
      <c r="K14" s="24"/>
    </row>
    <row r="15" spans="1:11">
      <c r="A15" s="24" t="s">
        <v>244</v>
      </c>
      <c r="B15" s="24"/>
      <c r="C15" s="24"/>
      <c r="D15" s="24"/>
      <c r="E15" s="24"/>
      <c r="F15" s="24"/>
      <c r="G15" s="24"/>
      <c r="H15" s="24"/>
      <c r="I15" s="24"/>
      <c r="J15" s="24"/>
      <c r="K15" s="24"/>
    </row>
    <row r="16" spans="1:11">
      <c r="A16" s="24" t="s">
        <v>245</v>
      </c>
      <c r="B16" s="24"/>
      <c r="C16" s="24"/>
      <c r="D16" s="24"/>
      <c r="E16" s="24"/>
      <c r="F16" s="24"/>
      <c r="G16" s="24"/>
      <c r="H16" s="24"/>
      <c r="I16" s="24"/>
      <c r="J16" s="24"/>
      <c r="K16" s="24"/>
    </row>
    <row r="17" spans="1:11">
      <c r="A17" s="24"/>
      <c r="B17" s="24" t="s">
        <v>243</v>
      </c>
      <c r="C17" s="37"/>
      <c r="D17" s="24"/>
      <c r="E17" s="37"/>
      <c r="F17" s="24"/>
      <c r="G17" s="37"/>
      <c r="H17" s="24"/>
      <c r="I17" s="37"/>
      <c r="J17" s="24"/>
      <c r="K17" s="37"/>
    </row>
    <row r="18" spans="1:11">
      <c r="A18" s="24"/>
      <c r="B18" s="24"/>
      <c r="C18" s="24"/>
      <c r="D18" s="24"/>
      <c r="E18" s="24"/>
      <c r="F18" s="24"/>
      <c r="G18" s="24"/>
      <c r="H18" s="24"/>
      <c r="I18" s="24"/>
      <c r="J18" s="24"/>
      <c r="K18" s="24"/>
    </row>
    <row r="19" spans="1:11" ht="16" thickBot="1">
      <c r="A19" s="24" t="s">
        <v>246</v>
      </c>
      <c r="B19" s="24"/>
      <c r="C19" s="58"/>
      <c r="D19" s="59"/>
      <c r="E19" s="58"/>
      <c r="F19" s="59"/>
      <c r="G19" s="58"/>
      <c r="H19" s="59"/>
      <c r="I19" s="58"/>
      <c r="J19" s="59"/>
      <c r="K19" s="58"/>
    </row>
    <row r="20" spans="1:11" ht="16" thickTop="1"/>
  </sheetData>
  <mergeCells count="3">
    <mergeCell ref="A1:K1"/>
    <mergeCell ref="A2:K2"/>
    <mergeCell ref="A3:K3"/>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E39"/>
  <sheetViews>
    <sheetView workbookViewId="0">
      <selection activeCell="C52" sqref="C52"/>
    </sheetView>
  </sheetViews>
  <sheetFormatPr baseColWidth="10" defaultColWidth="8.5703125" defaultRowHeight="13" x14ac:dyDescent="0"/>
  <cols>
    <col min="1" max="2" width="2.5703125" style="24" customWidth="1"/>
    <col min="3" max="3" width="34.5703125" style="24" customWidth="1"/>
    <col min="4" max="5" width="11.5703125" style="24" customWidth="1"/>
    <col min="6" max="16384" width="8.5703125" style="24"/>
  </cols>
  <sheetData>
    <row r="1" spans="1:5">
      <c r="A1" s="153" t="s">
        <v>56</v>
      </c>
      <c r="B1" s="153"/>
      <c r="C1" s="153"/>
      <c r="D1" s="153"/>
      <c r="E1" s="153"/>
    </row>
    <row r="2" spans="1:5">
      <c r="A2" s="153" t="s">
        <v>57</v>
      </c>
      <c r="B2" s="153"/>
      <c r="C2" s="153"/>
      <c r="D2" s="153"/>
      <c r="E2" s="153"/>
    </row>
    <row r="3" spans="1:5">
      <c r="A3" s="153" t="s">
        <v>58</v>
      </c>
      <c r="B3" s="153"/>
      <c r="C3" s="153"/>
      <c r="D3" s="153"/>
      <c r="E3" s="153"/>
    </row>
    <row r="4" spans="1:5">
      <c r="A4" s="153" t="s">
        <v>59</v>
      </c>
      <c r="B4" s="153"/>
      <c r="C4" s="153"/>
      <c r="D4" s="153"/>
      <c r="E4" s="153"/>
    </row>
    <row r="5" spans="1:5">
      <c r="A5" s="25"/>
      <c r="B5" s="25"/>
      <c r="C5" s="25"/>
      <c r="D5" s="25"/>
      <c r="E5" s="25"/>
    </row>
    <row r="6" spans="1:5">
      <c r="A6" s="25" t="s">
        <v>60</v>
      </c>
      <c r="B6" s="25"/>
      <c r="C6" s="25"/>
      <c r="D6" s="25"/>
      <c r="E6" s="25"/>
    </row>
    <row r="7" spans="1:5">
      <c r="B7" s="25" t="s">
        <v>61</v>
      </c>
      <c r="C7" s="25"/>
      <c r="D7" s="75">
        <f>+'GF WS'!T71</f>
        <v>0</v>
      </c>
      <c r="E7" s="25"/>
    </row>
    <row r="8" spans="1:5">
      <c r="B8" s="25" t="s">
        <v>62</v>
      </c>
      <c r="C8" s="25"/>
      <c r="D8" s="27">
        <f>+'GF WS'!T134</f>
        <v>0</v>
      </c>
      <c r="E8" s="25"/>
    </row>
    <row r="9" spans="1:5">
      <c r="B9" s="25" t="s">
        <v>63</v>
      </c>
      <c r="C9" s="25"/>
      <c r="D9" s="27">
        <f>+'GF WS'!T78</f>
        <v>0</v>
      </c>
      <c r="E9" s="25"/>
    </row>
    <row r="10" spans="1:5">
      <c r="B10" s="25" t="s">
        <v>64</v>
      </c>
      <c r="C10" s="25"/>
      <c r="D10" s="27">
        <f>+'GF WS'!T74</f>
        <v>0</v>
      </c>
      <c r="E10" s="25"/>
    </row>
    <row r="11" spans="1:5">
      <c r="B11" s="25" t="s">
        <v>65</v>
      </c>
      <c r="C11" s="25"/>
      <c r="D11" s="27">
        <f>+'GF WS'!T76</f>
        <v>0</v>
      </c>
      <c r="E11" s="25"/>
    </row>
    <row r="12" spans="1:5">
      <c r="B12" s="25" t="s">
        <v>66</v>
      </c>
      <c r="C12" s="25"/>
      <c r="D12" s="27">
        <f>+'GF WS'!T80</f>
        <v>0</v>
      </c>
      <c r="E12" s="25"/>
    </row>
    <row r="13" spans="1:5">
      <c r="B13" s="25"/>
      <c r="C13" s="25" t="s">
        <v>67</v>
      </c>
      <c r="D13" s="28"/>
      <c r="E13" s="75">
        <f>SUM(D7:D12)</f>
        <v>0</v>
      </c>
    </row>
    <row r="14" spans="1:5">
      <c r="A14" s="25"/>
      <c r="B14" s="25"/>
      <c r="C14" s="25"/>
      <c r="D14" s="25"/>
      <c r="E14" s="25"/>
    </row>
    <row r="15" spans="1:5">
      <c r="A15" s="25" t="s">
        <v>68</v>
      </c>
      <c r="B15" s="25"/>
      <c r="C15" s="25"/>
      <c r="D15" s="25"/>
      <c r="E15" s="25"/>
    </row>
    <row r="16" spans="1:5">
      <c r="A16" s="25" t="s">
        <v>69</v>
      </c>
      <c r="B16" s="25"/>
      <c r="C16" s="25"/>
      <c r="D16" s="25"/>
      <c r="E16" s="25"/>
    </row>
    <row r="17" spans="1:5">
      <c r="B17" s="25" t="s">
        <v>70</v>
      </c>
      <c r="C17" s="25"/>
      <c r="D17" s="27">
        <f>+'GF WS'!R84</f>
        <v>0</v>
      </c>
      <c r="E17" s="27"/>
    </row>
    <row r="18" spans="1:5">
      <c r="B18" s="25" t="s">
        <v>71</v>
      </c>
      <c r="C18" s="25"/>
      <c r="D18" s="27">
        <f>+'GF WS'!R91</f>
        <v>0</v>
      </c>
      <c r="E18" s="27"/>
    </row>
    <row r="19" spans="1:5">
      <c r="B19" s="25" t="s">
        <v>72</v>
      </c>
      <c r="C19" s="25"/>
      <c r="D19" s="27">
        <f>+'GF WS'!R99</f>
        <v>0</v>
      </c>
      <c r="E19" s="27"/>
    </row>
    <row r="20" spans="1:5">
      <c r="B20" s="25" t="s">
        <v>73</v>
      </c>
      <c r="C20" s="25"/>
      <c r="D20" s="27">
        <f>+'GF WS'!R105</f>
        <v>0</v>
      </c>
      <c r="E20" s="27"/>
    </row>
    <row r="21" spans="1:5">
      <c r="B21" s="25" t="s">
        <v>74</v>
      </c>
      <c r="C21" s="25"/>
      <c r="D21" s="27">
        <f>+'GF WS'!R111</f>
        <v>0</v>
      </c>
      <c r="E21" s="27"/>
    </row>
    <row r="22" spans="1:5">
      <c r="A22" s="25" t="s">
        <v>75</v>
      </c>
      <c r="B22" s="25"/>
      <c r="C22" s="25"/>
      <c r="D22" s="27">
        <f>+'GF WS'!R119</f>
        <v>0</v>
      </c>
      <c r="E22" s="27"/>
    </row>
    <row r="23" spans="1:5">
      <c r="B23" s="25"/>
      <c r="C23" s="25" t="s">
        <v>76</v>
      </c>
      <c r="D23" s="29"/>
      <c r="E23" s="27">
        <f>SUM(D17:D22)</f>
        <v>0</v>
      </c>
    </row>
    <row r="24" spans="1:5">
      <c r="A24" s="25" t="s">
        <v>77</v>
      </c>
      <c r="B24" s="25"/>
      <c r="C24" s="25"/>
      <c r="D24" s="27"/>
      <c r="E24" s="29">
        <f>+E13-E23</f>
        <v>0</v>
      </c>
    </row>
    <row r="25" spans="1:5">
      <c r="A25" s="25"/>
      <c r="B25" s="25"/>
      <c r="C25" s="25"/>
      <c r="D25" s="27"/>
      <c r="E25" s="27"/>
    </row>
    <row r="26" spans="1:5">
      <c r="A26" s="25" t="s">
        <v>78</v>
      </c>
      <c r="B26" s="25"/>
      <c r="C26" s="25"/>
      <c r="D26" s="27"/>
      <c r="E26" s="27"/>
    </row>
    <row r="27" spans="1:5">
      <c r="B27" s="25" t="s">
        <v>79</v>
      </c>
      <c r="C27" s="25"/>
      <c r="D27" s="27">
        <f>+'GF WS'!T132</f>
        <v>0</v>
      </c>
      <c r="E27" s="27"/>
    </row>
    <row r="28" spans="1:5">
      <c r="B28" s="25" t="s">
        <v>80</v>
      </c>
      <c r="C28" s="25"/>
      <c r="D28" s="27">
        <f>+'GF WS'!T137</f>
        <v>0</v>
      </c>
      <c r="E28" s="27"/>
    </row>
    <row r="29" spans="1:5">
      <c r="B29" s="25" t="s">
        <v>81</v>
      </c>
      <c r="C29" s="25"/>
      <c r="D29" s="27">
        <f>+'GF WS'!T141</f>
        <v>0</v>
      </c>
      <c r="E29" s="27"/>
    </row>
    <row r="30" spans="1:5">
      <c r="B30" s="25" t="s">
        <v>82</v>
      </c>
      <c r="C30" s="25"/>
      <c r="D30" s="27">
        <f>-'GF WS'!R124</f>
        <v>0</v>
      </c>
      <c r="E30" s="27"/>
    </row>
    <row r="31" spans="1:5">
      <c r="B31" s="25" t="s">
        <v>83</v>
      </c>
      <c r="C31" s="25"/>
      <c r="D31" s="27">
        <f>-'GF WS'!R128-'GF WS'!R126</f>
        <v>0</v>
      </c>
      <c r="E31" s="27"/>
    </row>
    <row r="32" spans="1:5">
      <c r="B32" s="25" t="s">
        <v>84</v>
      </c>
      <c r="C32" s="25"/>
      <c r="D32" s="27">
        <f>-'GF WS'!R130</f>
        <v>0</v>
      </c>
    </row>
    <row r="33" spans="1:5">
      <c r="A33" s="25"/>
      <c r="B33" s="25"/>
      <c r="C33" s="25" t="s">
        <v>85</v>
      </c>
      <c r="D33" s="29"/>
      <c r="E33" s="27">
        <f>SUM(D27:D32)</f>
        <v>0</v>
      </c>
    </row>
    <row r="35" spans="1:5">
      <c r="A35" s="25" t="s">
        <v>86</v>
      </c>
      <c r="B35" s="25"/>
      <c r="C35" s="25"/>
      <c r="D35" s="27"/>
      <c r="E35" s="29">
        <f>SUM(E24:E33)</f>
        <v>0</v>
      </c>
    </row>
    <row r="36" spans="1:5">
      <c r="A36" s="25"/>
      <c r="B36" s="25"/>
      <c r="C36" s="25"/>
      <c r="D36" s="27"/>
      <c r="E36" s="27"/>
    </row>
    <row r="37" spans="1:5">
      <c r="A37" s="25" t="s">
        <v>87</v>
      </c>
      <c r="B37" s="25"/>
      <c r="C37" s="25"/>
      <c r="D37" s="27"/>
      <c r="E37" s="27">
        <f>+'GF WS'!E53</f>
        <v>1442000</v>
      </c>
    </row>
    <row r="38" spans="1:5" ht="14" thickBot="1">
      <c r="A38" s="25" t="s">
        <v>88</v>
      </c>
      <c r="B38" s="25"/>
      <c r="C38" s="25"/>
      <c r="D38" s="27"/>
      <c r="E38" s="30">
        <f>SUM(E35:E37)</f>
        <v>1442000</v>
      </c>
    </row>
    <row r="39" spans="1:5" ht="14" thickTop="1">
      <c r="D39" s="25"/>
      <c r="E39" s="25"/>
    </row>
  </sheetData>
  <mergeCells count="4">
    <mergeCell ref="A1:E1"/>
    <mergeCell ref="A2:E2"/>
    <mergeCell ref="A3:E3"/>
    <mergeCell ref="A4:E4"/>
  </mergeCells>
  <printOptions horizontalCentered="1"/>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X93"/>
  <sheetViews>
    <sheetView workbookViewId="0">
      <pane xSplit="2" ySplit="8" topLeftCell="D9" activePane="bottomRight" state="frozen"/>
      <selection pane="topRight" activeCell="C1" sqref="C1"/>
      <selection pane="bottomLeft" activeCell="A9" sqref="A9"/>
      <selection pane="bottomRight" activeCell="AB39" sqref="AB39"/>
    </sheetView>
  </sheetViews>
  <sheetFormatPr baseColWidth="10" defaultColWidth="9.5703125" defaultRowHeight="13" x14ac:dyDescent="0"/>
  <cols>
    <col min="1" max="1" width="2.5703125" style="3" customWidth="1"/>
    <col min="2" max="2" width="40.5703125" style="3" customWidth="1"/>
    <col min="3" max="3" width="9.5703125" style="3" customWidth="1"/>
    <col min="4" max="4" width="1.5703125" style="3" customWidth="1"/>
    <col min="5" max="5" width="9.5703125" style="4" customWidth="1"/>
    <col min="6" max="6" width="1.5703125" style="4" customWidth="1"/>
    <col min="7" max="7" width="4.5703125" style="4" customWidth="1"/>
    <col min="8" max="8" width="9.5703125" style="4" customWidth="1"/>
    <col min="9" max="9" width="1.5703125" style="4" customWidth="1"/>
    <col min="10" max="10" width="9.5703125" style="4" customWidth="1"/>
    <col min="11" max="11" width="4.5703125" style="4" customWidth="1"/>
    <col min="12" max="12" width="1.5703125" style="4" customWidth="1"/>
    <col min="13" max="13" width="16" style="4" customWidth="1"/>
    <col min="14" max="14" width="9.5703125" style="4" customWidth="1"/>
    <col min="15" max="15" width="1.5703125" style="4" customWidth="1"/>
    <col min="16" max="16" width="9.5703125" style="4" customWidth="1"/>
    <col min="17" max="17" width="1.5703125" style="4" customWidth="1"/>
    <col min="18" max="18" width="9.5703125" style="4" customWidth="1"/>
    <col min="19" max="19" width="2.5703125" style="3" customWidth="1"/>
    <col min="20" max="20" width="9.5703125" style="3" customWidth="1"/>
    <col min="21" max="21" width="1.5703125" style="3" customWidth="1"/>
    <col min="22" max="22" width="9.5703125" style="3" customWidth="1"/>
    <col min="23" max="23" width="2.5703125" style="3" customWidth="1"/>
    <col min="24" max="24" width="9.5703125" style="3" customWidth="1"/>
    <col min="25" max="16384" width="9.5703125" style="3"/>
  </cols>
  <sheetData>
    <row r="1" spans="1:24">
      <c r="A1" s="152" t="s">
        <v>0</v>
      </c>
      <c r="B1" s="152"/>
      <c r="C1" s="152"/>
      <c r="D1" s="152"/>
      <c r="E1" s="152"/>
      <c r="F1" s="152"/>
      <c r="G1" s="152"/>
      <c r="H1" s="152"/>
      <c r="I1" s="152"/>
      <c r="J1" s="152"/>
      <c r="K1" s="152"/>
      <c r="L1" s="152"/>
      <c r="M1" s="152"/>
      <c r="N1" s="152"/>
      <c r="O1" s="152"/>
      <c r="P1" s="152"/>
      <c r="Q1" s="152"/>
      <c r="R1" s="152"/>
      <c r="S1" s="152"/>
      <c r="T1" s="152"/>
      <c r="U1" s="152"/>
      <c r="V1" s="152"/>
      <c r="W1" s="152"/>
      <c r="X1" s="152"/>
    </row>
    <row r="2" spans="1:24">
      <c r="A2" s="152" t="s">
        <v>248</v>
      </c>
      <c r="B2" s="152"/>
      <c r="C2" s="152"/>
      <c r="D2" s="152"/>
      <c r="E2" s="152"/>
      <c r="F2" s="152"/>
      <c r="G2" s="152"/>
      <c r="H2" s="152"/>
      <c r="I2" s="152"/>
      <c r="J2" s="152"/>
      <c r="K2" s="152"/>
      <c r="L2" s="152"/>
      <c r="M2" s="152"/>
      <c r="N2" s="152"/>
      <c r="O2" s="152"/>
      <c r="P2" s="152"/>
      <c r="Q2" s="152"/>
      <c r="R2" s="152"/>
      <c r="S2" s="152"/>
      <c r="T2" s="152"/>
      <c r="U2" s="152"/>
      <c r="V2" s="152"/>
      <c r="W2" s="152"/>
      <c r="X2" s="152"/>
    </row>
    <row r="3" spans="1:24">
      <c r="A3" s="152" t="s">
        <v>2</v>
      </c>
      <c r="B3" s="152"/>
      <c r="C3" s="152"/>
      <c r="D3" s="152"/>
      <c r="E3" s="152"/>
      <c r="F3" s="152"/>
      <c r="G3" s="152"/>
      <c r="H3" s="152"/>
      <c r="I3" s="152"/>
      <c r="J3" s="152"/>
      <c r="K3" s="152"/>
      <c r="L3" s="152"/>
      <c r="M3" s="152"/>
      <c r="N3" s="152"/>
      <c r="O3" s="152"/>
      <c r="P3" s="152"/>
      <c r="Q3" s="152"/>
      <c r="R3" s="152"/>
      <c r="S3" s="152"/>
      <c r="T3" s="152"/>
      <c r="U3" s="152"/>
      <c r="V3" s="152"/>
      <c r="W3" s="152"/>
      <c r="X3" s="152"/>
    </row>
    <row r="4" spans="1:24">
      <c r="B4" s="3" t="s">
        <v>3</v>
      </c>
      <c r="C4" s="3">
        <f>IF(C90&gt;E90,0,+E90-C90)</f>
        <v>0</v>
      </c>
      <c r="E4" s="3">
        <f>IF(E90&gt;C90,0,+C90-E90)</f>
        <v>0</v>
      </c>
      <c r="F4" s="3"/>
      <c r="G4" s="3"/>
      <c r="H4" s="3">
        <f>IF(H90&gt;J90,0,+J90-H90)</f>
        <v>0</v>
      </c>
      <c r="I4" s="3"/>
      <c r="J4" s="3">
        <f>IF(J90&gt;H90,0,+H90-J90)</f>
        <v>0</v>
      </c>
      <c r="K4" s="3"/>
      <c r="L4" s="3"/>
      <c r="M4" s="3"/>
      <c r="N4" s="3">
        <f>IF(N90&gt;P90,0,+P90-N90)</f>
        <v>0</v>
      </c>
      <c r="O4" s="3"/>
      <c r="P4" s="3">
        <f>IF(P90&gt;N90,0,+N90-P90)</f>
        <v>0</v>
      </c>
      <c r="Q4" s="3"/>
      <c r="R4" s="3">
        <f>IF(R92&gt;T92,0,+T92-R92)</f>
        <v>0</v>
      </c>
      <c r="T4" s="3">
        <f>IF(T92&gt;R92,0,+R92-T92)</f>
        <v>0</v>
      </c>
      <c r="V4" s="3">
        <f>IF(V92&gt;X92,0,+X92-V92)</f>
        <v>0</v>
      </c>
      <c r="X4" s="3">
        <f>IF(X92&gt;V92,0,+V92-X92)</f>
        <v>0</v>
      </c>
    </row>
    <row r="5" spans="1:24" ht="5" customHeight="1"/>
    <row r="6" spans="1:24">
      <c r="C6" s="1" t="s">
        <v>4</v>
      </c>
      <c r="D6" s="1"/>
      <c r="E6" s="2"/>
      <c r="N6" s="2" t="s">
        <v>4</v>
      </c>
      <c r="O6" s="2"/>
      <c r="P6" s="2"/>
      <c r="V6" s="1"/>
      <c r="W6" s="1"/>
      <c r="X6" s="1"/>
    </row>
    <row r="7" spans="1:24" ht="15.75" customHeight="1">
      <c r="C7" s="1" t="s">
        <v>5</v>
      </c>
      <c r="D7" s="1"/>
      <c r="E7" s="2"/>
      <c r="F7" s="151" t="s">
        <v>6</v>
      </c>
      <c r="G7" s="151"/>
      <c r="H7" s="151"/>
      <c r="I7" s="151"/>
      <c r="J7" s="151"/>
      <c r="K7" s="151"/>
      <c r="L7" s="151"/>
      <c r="N7" s="2" t="s">
        <v>7</v>
      </c>
      <c r="O7" s="2"/>
      <c r="P7" s="2"/>
      <c r="R7" s="2" t="s">
        <v>8</v>
      </c>
      <c r="S7" s="1"/>
      <c r="T7" s="1"/>
      <c r="V7" s="1" t="s">
        <v>9</v>
      </c>
      <c r="W7" s="1"/>
      <c r="X7" s="1"/>
    </row>
    <row r="8" spans="1:24">
      <c r="A8" s="5"/>
      <c r="B8" s="142" t="s">
        <v>10</v>
      </c>
      <c r="C8" s="6" t="s">
        <v>11</v>
      </c>
      <c r="D8" s="7"/>
      <c r="E8" s="8" t="s">
        <v>12</v>
      </c>
      <c r="G8" s="8" t="s">
        <v>13</v>
      </c>
      <c r="H8" s="9" t="s">
        <v>11</v>
      </c>
      <c r="I8" s="10"/>
      <c r="J8" s="8" t="s">
        <v>12</v>
      </c>
      <c r="K8" s="8" t="s">
        <v>13</v>
      </c>
      <c r="N8" s="8" t="s">
        <v>11</v>
      </c>
      <c r="O8" s="10"/>
      <c r="P8" s="8" t="s">
        <v>12</v>
      </c>
      <c r="R8" s="8" t="s">
        <v>11</v>
      </c>
      <c r="S8" s="7">
        <v>2</v>
      </c>
      <c r="T8" s="11" t="s">
        <v>12</v>
      </c>
      <c r="V8" s="6" t="s">
        <v>11</v>
      </c>
      <c r="W8" s="7">
        <v>1</v>
      </c>
      <c r="X8" s="6" t="s">
        <v>12</v>
      </c>
    </row>
    <row r="9" spans="1:24">
      <c r="A9" s="3">
        <v>1</v>
      </c>
      <c r="B9" s="3" t="s">
        <v>14</v>
      </c>
      <c r="C9" s="7">
        <v>175000</v>
      </c>
      <c r="E9" s="10"/>
      <c r="G9" s="8">
        <v>2</v>
      </c>
      <c r="H9" s="10">
        <v>815000</v>
      </c>
      <c r="I9" s="141"/>
      <c r="J9" s="10">
        <f>190000+12000</f>
        <v>202000</v>
      </c>
      <c r="K9" s="8">
        <v>5</v>
      </c>
      <c r="M9" s="4">
        <f>C9-E9+SUM(H9:H16)-SUM(J9:J16)</f>
        <v>344000</v>
      </c>
      <c r="N9" s="10">
        <f>IF(M9&gt;0,+M9,0)</f>
        <v>344000</v>
      </c>
      <c r="P9" s="10">
        <f>IF(M9&lt;0,-M9,0)</f>
        <v>0</v>
      </c>
      <c r="R9" s="10">
        <f>IF($A9=$S$8,+N9,0)</f>
        <v>0</v>
      </c>
      <c r="T9" s="7">
        <f>IF($A9=$S$8,+P9,0)</f>
        <v>0</v>
      </c>
      <c r="V9" s="7">
        <f>IF($A9=$W$8,+N9,0)</f>
        <v>344000</v>
      </c>
      <c r="X9" s="7">
        <f>IF($A9=$W$8,+P9,0)</f>
        <v>0</v>
      </c>
    </row>
    <row r="10" spans="1:24">
      <c r="C10" s="146"/>
      <c r="E10" s="16"/>
      <c r="G10" s="19">
        <v>8</v>
      </c>
      <c r="H10" s="16">
        <v>8000</v>
      </c>
      <c r="I10" s="141"/>
      <c r="J10" s="16">
        <v>120000</v>
      </c>
      <c r="K10" s="19">
        <v>6</v>
      </c>
      <c r="N10" s="16"/>
      <c r="P10" s="16"/>
      <c r="R10" s="16"/>
      <c r="T10" s="146"/>
      <c r="V10" s="146"/>
      <c r="X10" s="146"/>
    </row>
    <row r="11" spans="1:24">
      <c r="C11" s="146"/>
      <c r="E11" s="16"/>
      <c r="G11" s="19"/>
      <c r="H11" s="16"/>
      <c r="I11" s="141"/>
      <c r="J11" s="16">
        <v>30000</v>
      </c>
      <c r="K11" s="19">
        <v>7</v>
      </c>
      <c r="N11" s="16"/>
      <c r="P11" s="16"/>
      <c r="R11" s="16"/>
      <c r="T11" s="146"/>
      <c r="V11" s="146"/>
      <c r="X11" s="146"/>
    </row>
    <row r="12" spans="1:24">
      <c r="C12" s="146"/>
      <c r="E12" s="16"/>
      <c r="G12" s="19"/>
      <c r="H12" s="16"/>
      <c r="I12" s="141"/>
      <c r="J12" s="16">
        <v>120000</v>
      </c>
      <c r="K12" s="19">
        <v>11</v>
      </c>
      <c r="N12" s="16"/>
      <c r="P12" s="16"/>
      <c r="R12" s="16"/>
      <c r="T12" s="146"/>
      <c r="V12" s="146"/>
      <c r="X12" s="146"/>
    </row>
    <row r="13" spans="1:24">
      <c r="C13" s="146"/>
      <c r="E13" s="16"/>
      <c r="G13" s="19"/>
      <c r="H13" s="16"/>
      <c r="I13" s="141"/>
      <c r="J13" s="16">
        <v>82000</v>
      </c>
      <c r="K13" s="19">
        <v>12</v>
      </c>
      <c r="N13" s="16"/>
      <c r="P13" s="16"/>
      <c r="R13" s="16"/>
      <c r="T13" s="146"/>
      <c r="V13" s="146"/>
      <c r="X13" s="146"/>
    </row>
    <row r="14" spans="1:24">
      <c r="C14" s="146"/>
      <c r="E14" s="16"/>
      <c r="G14" s="19"/>
      <c r="H14" s="16"/>
      <c r="I14" s="141"/>
      <c r="J14" s="16">
        <v>100000</v>
      </c>
      <c r="K14" s="19">
        <v>14</v>
      </c>
      <c r="N14" s="16"/>
      <c r="P14" s="16"/>
      <c r="R14" s="16"/>
      <c r="T14" s="146"/>
      <c r="V14" s="146"/>
      <c r="X14" s="146"/>
    </row>
    <row r="15" spans="1:24">
      <c r="C15" s="146"/>
      <c r="E15" s="16"/>
      <c r="G15" s="19"/>
      <c r="H15" s="16"/>
      <c r="I15" s="141"/>
      <c r="J15" s="16"/>
      <c r="K15" s="19"/>
      <c r="N15" s="16"/>
      <c r="P15" s="16"/>
      <c r="R15" s="16"/>
      <c r="T15" s="146"/>
      <c r="V15" s="146"/>
      <c r="X15" s="146"/>
    </row>
    <row r="16" spans="1:24" ht="5" customHeight="1">
      <c r="B16" s="23"/>
      <c r="C16" s="23"/>
      <c r="D16" s="23"/>
      <c r="E16" s="18"/>
      <c r="G16" s="141"/>
      <c r="I16" s="141"/>
      <c r="K16" s="141"/>
    </row>
    <row r="17" spans="1:24">
      <c r="A17" s="3">
        <v>1</v>
      </c>
      <c r="B17" s="3" t="s">
        <v>249</v>
      </c>
      <c r="C17" s="3">
        <v>45000</v>
      </c>
      <c r="G17" s="141">
        <v>1</v>
      </c>
      <c r="H17" s="4">
        <f>530000+320000-22500</f>
        <v>827500</v>
      </c>
      <c r="I17" s="141"/>
      <c r="J17" s="4">
        <v>815000</v>
      </c>
      <c r="K17" s="141">
        <v>2</v>
      </c>
      <c r="M17" s="4">
        <f>C17-E17+SUM(H17:H19)-SUM(J17:J19)</f>
        <v>51100</v>
      </c>
      <c r="N17" s="4">
        <f>IF(M17&gt;0,+M17,0)</f>
        <v>51100</v>
      </c>
      <c r="P17" s="4">
        <f>IF(M17&lt;0,-M17,0)</f>
        <v>0</v>
      </c>
      <c r="R17" s="4">
        <f>IF($A17=$S$8,+N17,0)</f>
        <v>0</v>
      </c>
      <c r="T17" s="3">
        <f>IF($A17=$S$8,+P17,0)</f>
        <v>0</v>
      </c>
      <c r="V17" s="3">
        <f>IF($A17=$W$8,+N17,0)</f>
        <v>51100</v>
      </c>
      <c r="X17" s="3">
        <f>IF($A17=$W$8,+P17,0)</f>
        <v>0</v>
      </c>
    </row>
    <row r="18" spans="1:24">
      <c r="G18" s="141"/>
      <c r="I18" s="141"/>
      <c r="J18" s="4">
        <v>6400</v>
      </c>
      <c r="K18" s="141">
        <v>3</v>
      </c>
    </row>
    <row r="19" spans="1:24" ht="5" customHeight="1">
      <c r="B19" s="23"/>
      <c r="C19" s="23"/>
      <c r="D19" s="23"/>
      <c r="E19" s="18"/>
      <c r="G19" s="141"/>
      <c r="I19" s="141"/>
      <c r="K19" s="141"/>
    </row>
    <row r="20" spans="1:24">
      <c r="A20" s="3">
        <v>1</v>
      </c>
      <c r="B20" s="3" t="s">
        <v>250</v>
      </c>
      <c r="E20" s="4">
        <v>1100</v>
      </c>
      <c r="G20" s="141">
        <v>3</v>
      </c>
      <c r="H20" s="4">
        <v>6400</v>
      </c>
      <c r="I20" s="141"/>
      <c r="J20" s="4">
        <f>5160+3015</f>
        <v>8175</v>
      </c>
      <c r="K20" s="141">
        <v>1</v>
      </c>
      <c r="M20" s="4">
        <f>C20-E20+SUM(H20:H21)-SUM(J20:J21)</f>
        <v>-2875</v>
      </c>
      <c r="N20" s="4">
        <f>IF(M20&gt;0,+M20,0)</f>
        <v>0</v>
      </c>
      <c r="P20" s="4">
        <f>IF(M20&lt;0,-M20,0)</f>
        <v>2875</v>
      </c>
      <c r="R20" s="4">
        <f>IF($A20=$S$8,+N20,0)</f>
        <v>0</v>
      </c>
      <c r="T20" s="3">
        <f>IF($A20=$S$8,+P20,0)</f>
        <v>0</v>
      </c>
      <c r="V20" s="3">
        <f>IF($A20=$W$8,+N20,0)</f>
        <v>0</v>
      </c>
      <c r="X20" s="3">
        <f>IF($A20=$W$8,+P20,0)</f>
        <v>2875</v>
      </c>
    </row>
    <row r="21" spans="1:24" ht="5" customHeight="1">
      <c r="B21" s="23"/>
      <c r="C21" s="23"/>
      <c r="D21" s="23"/>
      <c r="E21" s="18"/>
      <c r="G21" s="141"/>
      <c r="I21" s="141"/>
      <c r="K21" s="141"/>
    </row>
    <row r="22" spans="1:24">
      <c r="A22" s="3">
        <v>1</v>
      </c>
      <c r="B22" s="3" t="s">
        <v>24</v>
      </c>
      <c r="C22" s="3">
        <v>27000</v>
      </c>
      <c r="G22" s="141">
        <v>9</v>
      </c>
      <c r="H22" s="4">
        <v>89900</v>
      </c>
      <c r="I22" s="141"/>
      <c r="J22" s="4">
        <v>88700</v>
      </c>
      <c r="K22" s="141">
        <v>10</v>
      </c>
      <c r="M22" s="4">
        <f>C22-E22+SUM(H22:H23)-SUM(J22:J23)</f>
        <v>28200</v>
      </c>
      <c r="N22" s="4">
        <f>IF(M22&gt;0,+M22,0)</f>
        <v>28200</v>
      </c>
      <c r="P22" s="4">
        <f>IF(M22&lt;0,-M22,0)</f>
        <v>0</v>
      </c>
      <c r="R22" s="4">
        <f>IF($A22=$S$8,+N22,0)</f>
        <v>0</v>
      </c>
      <c r="T22" s="3">
        <f>IF($A22=$S$8,+P22,0)</f>
        <v>0</v>
      </c>
      <c r="V22" s="3">
        <f>IF($A22=$W$8,+N22,0)</f>
        <v>28200</v>
      </c>
      <c r="X22" s="3">
        <f>IF($A22=$W$8,+P22,0)</f>
        <v>0</v>
      </c>
    </row>
    <row r="23" spans="1:24" ht="5" customHeight="1">
      <c r="B23" s="23"/>
      <c r="C23" s="23"/>
      <c r="D23" s="23"/>
      <c r="E23" s="18"/>
      <c r="G23" s="141"/>
      <c r="I23" s="141"/>
      <c r="K23" s="141"/>
    </row>
    <row r="24" spans="1:24">
      <c r="A24" s="3">
        <v>1</v>
      </c>
      <c r="B24" s="3" t="s">
        <v>251</v>
      </c>
      <c r="C24" s="3">
        <v>30000</v>
      </c>
      <c r="G24" s="141">
        <v>4</v>
      </c>
      <c r="H24" s="4">
        <v>4500</v>
      </c>
      <c r="I24" s="141"/>
      <c r="K24" s="141"/>
      <c r="M24" s="4">
        <f>C24-E24+SUM(H24:H25)-SUM(J24:J25)</f>
        <v>34500</v>
      </c>
      <c r="N24" s="4">
        <f>IF(M24&gt;0,+M24,0)</f>
        <v>34500</v>
      </c>
      <c r="P24" s="4">
        <f>IF(M24&lt;0,-M24,0)</f>
        <v>0</v>
      </c>
      <c r="R24" s="4">
        <f>IF($A24=$S$8,+N24,0)</f>
        <v>0</v>
      </c>
      <c r="T24" s="3">
        <f>IF($A24=$S$8,+P24,0)</f>
        <v>0</v>
      </c>
      <c r="V24" s="3">
        <f>IF($A24=$W$8,+N24,0)</f>
        <v>34500</v>
      </c>
      <c r="X24" s="3">
        <f>IF($A24=$W$8,+P24,0)</f>
        <v>0</v>
      </c>
    </row>
    <row r="25" spans="1:24" ht="5" customHeight="1">
      <c r="B25" s="23"/>
      <c r="C25" s="23"/>
      <c r="D25" s="23"/>
      <c r="E25" s="18"/>
      <c r="G25" s="141"/>
      <c r="I25" s="141"/>
      <c r="K25" s="141"/>
    </row>
    <row r="26" spans="1:24">
      <c r="A26" s="3">
        <v>1</v>
      </c>
      <c r="B26" s="3" t="s">
        <v>174</v>
      </c>
      <c r="C26" s="3">
        <v>17000</v>
      </c>
      <c r="G26" s="141"/>
      <c r="I26" s="141"/>
      <c r="K26" s="141"/>
      <c r="M26" s="4">
        <f>C26-E26+SUM(H26:H27)-SUM(J26:J27)</f>
        <v>17000</v>
      </c>
      <c r="N26" s="4">
        <f>IF(M26&gt;0,+M26,0)</f>
        <v>17000</v>
      </c>
      <c r="P26" s="4">
        <f>IF(M26&lt;0,-M26,0)</f>
        <v>0</v>
      </c>
      <c r="R26" s="4">
        <f>IF($A26=$S$8,+N26,0)</f>
        <v>0</v>
      </c>
      <c r="T26" s="3">
        <f>IF($A26=$S$8,+P26,0)</f>
        <v>0</v>
      </c>
      <c r="V26" s="3">
        <f>IF($A26=$W$8,+N26,0)</f>
        <v>17000</v>
      </c>
      <c r="X26" s="3">
        <f>IF($A26=$W$8,+P26,0)</f>
        <v>0</v>
      </c>
    </row>
    <row r="27" spans="1:24" ht="5" customHeight="1">
      <c r="B27" s="23"/>
      <c r="C27" s="23"/>
      <c r="D27" s="23"/>
      <c r="E27" s="18"/>
      <c r="G27" s="141"/>
      <c r="I27" s="141"/>
      <c r="K27" s="141"/>
    </row>
    <row r="28" spans="1:24">
      <c r="A28" s="3">
        <v>1</v>
      </c>
      <c r="B28" s="3" t="s">
        <v>175</v>
      </c>
      <c r="C28" s="3">
        <v>1200000</v>
      </c>
      <c r="G28" s="141"/>
      <c r="I28" s="141"/>
      <c r="K28" s="141"/>
      <c r="M28" s="4">
        <f>C28-E28+SUM(H28:H29)-SUM(J28:J29)</f>
        <v>1200000</v>
      </c>
      <c r="N28" s="4">
        <f>IF(M28&gt;0,+M28,0)</f>
        <v>1200000</v>
      </c>
      <c r="P28" s="4">
        <f>IF(M28&lt;0,-M28,0)</f>
        <v>0</v>
      </c>
      <c r="R28" s="4">
        <f>IF($A28=$S$8,+N28,0)</f>
        <v>0</v>
      </c>
      <c r="T28" s="3">
        <f>IF($A28=$S$8,+P28,0)</f>
        <v>0</v>
      </c>
      <c r="V28" s="3">
        <f>IF($A28=$W$8,+N28,0)</f>
        <v>1200000</v>
      </c>
      <c r="X28" s="3">
        <f>IF($A28=$W$8,+P28,0)</f>
        <v>0</v>
      </c>
    </row>
    <row r="29" spans="1:24" ht="5" customHeight="1">
      <c r="B29" s="23"/>
      <c r="C29" s="23"/>
      <c r="D29" s="23"/>
      <c r="E29" s="18"/>
      <c r="G29" s="141"/>
      <c r="I29" s="141"/>
      <c r="K29" s="141"/>
    </row>
    <row r="30" spans="1:24">
      <c r="A30" s="3">
        <v>1</v>
      </c>
      <c r="B30" s="3" t="s">
        <v>176</v>
      </c>
      <c r="E30" s="4">
        <v>300000</v>
      </c>
      <c r="G30" s="141"/>
      <c r="I30" s="141"/>
      <c r="J30" s="4">
        <v>40000</v>
      </c>
      <c r="K30" s="141">
        <v>13</v>
      </c>
      <c r="M30" s="4">
        <f>C30-E30+SUM(H30:H31)-SUM(J30:J31)</f>
        <v>-340000</v>
      </c>
      <c r="N30" s="4">
        <f>IF(M30&gt;0,+M30,0)</f>
        <v>0</v>
      </c>
      <c r="P30" s="4">
        <f>IF(M30&lt;0,-M30,0)</f>
        <v>340000</v>
      </c>
      <c r="R30" s="4">
        <f>IF($A30=$S$8,+N30,0)</f>
        <v>0</v>
      </c>
      <c r="T30" s="3">
        <f>IF($A30=$S$8,+P30,0)</f>
        <v>0</v>
      </c>
      <c r="V30" s="3">
        <f>IF($A30=$W$8,+N30,0)</f>
        <v>0</v>
      </c>
      <c r="X30" s="3">
        <f>IF($A30=$W$8,+P30,0)</f>
        <v>340000</v>
      </c>
    </row>
    <row r="31" spans="1:24" ht="5" customHeight="1">
      <c r="B31" s="23"/>
      <c r="C31" s="23"/>
      <c r="D31" s="23"/>
      <c r="E31" s="18"/>
      <c r="G31" s="141"/>
      <c r="I31" s="141"/>
      <c r="K31" s="141"/>
    </row>
    <row r="32" spans="1:24">
      <c r="A32" s="3">
        <v>1</v>
      </c>
      <c r="B32" s="3" t="s">
        <v>199</v>
      </c>
      <c r="C32" s="3">
        <v>2000000</v>
      </c>
      <c r="G32" s="141"/>
      <c r="I32" s="141"/>
      <c r="K32" s="141"/>
      <c r="M32" s="4">
        <f>C32-E32+SUM(H32:H33)-SUM(J32:J33)</f>
        <v>2000000</v>
      </c>
      <c r="N32" s="4">
        <f>IF(M32&gt;0,+M32,0)</f>
        <v>2000000</v>
      </c>
      <c r="P32" s="4">
        <f>IF(M32&lt;0,-M32,0)</f>
        <v>0</v>
      </c>
      <c r="R32" s="4">
        <f>IF($A32=$S$8,+N32,0)</f>
        <v>0</v>
      </c>
      <c r="T32" s="3">
        <f>IF($A32=$S$8,+P32,0)</f>
        <v>0</v>
      </c>
      <c r="V32" s="3">
        <f>IF($A32=$W$8,+N32,0)</f>
        <v>2000000</v>
      </c>
      <c r="X32" s="3">
        <f>IF($A32=$W$8,+P32,0)</f>
        <v>0</v>
      </c>
    </row>
    <row r="33" spans="1:24" ht="5" customHeight="1">
      <c r="B33" s="23"/>
      <c r="C33" s="23"/>
      <c r="D33" s="23"/>
      <c r="E33" s="18"/>
      <c r="G33" s="141"/>
      <c r="I33" s="141"/>
      <c r="K33" s="141"/>
    </row>
    <row r="34" spans="1:24">
      <c r="A34" s="3">
        <v>1</v>
      </c>
      <c r="B34" s="3" t="s">
        <v>197</v>
      </c>
      <c r="E34" s="4">
        <v>1000000</v>
      </c>
      <c r="G34" s="141"/>
      <c r="I34" s="141"/>
      <c r="J34" s="4">
        <v>150000</v>
      </c>
      <c r="K34" s="141">
        <v>13</v>
      </c>
      <c r="M34" s="4">
        <f>C34-E34+SUM(H34:H35)-SUM(J34:J35)</f>
        <v>-1150000</v>
      </c>
      <c r="N34" s="4">
        <f>IF(M34&gt;0,+M34,0)</f>
        <v>0</v>
      </c>
      <c r="P34" s="4">
        <f>IF(M34&lt;0,-M34,0)</f>
        <v>1150000</v>
      </c>
      <c r="R34" s="4">
        <f>IF($A34=$S$8,+N34,0)</f>
        <v>0</v>
      </c>
      <c r="T34" s="3">
        <f>IF($A34=$S$8,+P34,0)</f>
        <v>0</v>
      </c>
      <c r="V34" s="3">
        <f>IF($A34=$W$8,+N34,0)</f>
        <v>0</v>
      </c>
      <c r="X34" s="3">
        <f>IF($A34=$W$8,+P34,0)</f>
        <v>1150000</v>
      </c>
    </row>
    <row r="35" spans="1:24" ht="5" customHeight="1">
      <c r="B35" s="23"/>
      <c r="C35" s="23"/>
      <c r="D35" s="23"/>
      <c r="E35" s="18"/>
      <c r="G35" s="141"/>
      <c r="I35" s="141"/>
      <c r="K35" s="141"/>
    </row>
    <row r="36" spans="1:24">
      <c r="A36" s="3">
        <v>1</v>
      </c>
      <c r="B36" s="3" t="s">
        <v>252</v>
      </c>
      <c r="C36" s="3">
        <v>4500000</v>
      </c>
      <c r="G36" s="141"/>
      <c r="I36" s="141"/>
      <c r="K36" s="141"/>
      <c r="M36" s="4">
        <f>C36-E36+SUM(H36:H37)-SUM(J36:J37)</f>
        <v>4500000</v>
      </c>
      <c r="N36" s="4">
        <f>IF(M36&gt;0,+M36,0)</f>
        <v>4500000</v>
      </c>
      <c r="P36" s="4">
        <f>IF(M36&lt;0,-M36,0)</f>
        <v>0</v>
      </c>
      <c r="R36" s="4">
        <f>IF($A36=$S$8,+N36,0)</f>
        <v>0</v>
      </c>
      <c r="T36" s="3">
        <f>IF($A36=$S$8,+P36,0)</f>
        <v>0</v>
      </c>
      <c r="V36" s="3">
        <f>IF($A36=$W$8,+N36,0)</f>
        <v>4500000</v>
      </c>
      <c r="X36" s="3">
        <f>IF($A36=$W$8,+P36,0)</f>
        <v>0</v>
      </c>
    </row>
    <row r="37" spans="1:24" ht="5" customHeight="1">
      <c r="B37" s="23"/>
      <c r="C37" s="23"/>
      <c r="D37" s="23"/>
      <c r="E37" s="18"/>
      <c r="G37" s="141"/>
      <c r="I37" s="141"/>
      <c r="K37" s="141"/>
    </row>
    <row r="38" spans="1:24">
      <c r="A38" s="3">
        <v>1</v>
      </c>
      <c r="B38" s="3" t="s">
        <v>253</v>
      </c>
      <c r="E38" s="4">
        <v>3250000</v>
      </c>
      <c r="G38" s="141"/>
      <c r="I38" s="141"/>
      <c r="J38" s="4">
        <v>110000</v>
      </c>
      <c r="K38" s="141">
        <v>13</v>
      </c>
      <c r="M38" s="4">
        <f>C38-E38+SUM(H38:H39)-SUM(J38:J39)</f>
        <v>-3360000</v>
      </c>
      <c r="N38" s="4">
        <f>IF(M38&gt;0,+M38,0)</f>
        <v>0</v>
      </c>
      <c r="P38" s="4">
        <f>IF(M38&lt;0,-M38,0)</f>
        <v>3360000</v>
      </c>
      <c r="R38" s="4">
        <f>IF($A38=$S$8,+N38,0)</f>
        <v>0</v>
      </c>
      <c r="T38" s="3">
        <f>IF($A38=$S$8,+P38,0)</f>
        <v>0</v>
      </c>
      <c r="V38" s="3">
        <f>IF($A38=$W$8,+N38,0)</f>
        <v>0</v>
      </c>
      <c r="X38" s="3">
        <f>IF($A38=$W$8,+P38,0)</f>
        <v>3360000</v>
      </c>
    </row>
    <row r="39" spans="1:24" ht="5" customHeight="1">
      <c r="B39" s="23"/>
      <c r="C39" s="23"/>
      <c r="D39" s="23"/>
      <c r="E39" s="18"/>
      <c r="G39" s="141"/>
      <c r="I39" s="141"/>
      <c r="K39" s="141"/>
    </row>
    <row r="40" spans="1:24">
      <c r="A40" s="3">
        <v>1</v>
      </c>
      <c r="B40" s="3" t="s">
        <v>25</v>
      </c>
      <c r="E40" s="4">
        <v>68000</v>
      </c>
      <c r="G40" s="141">
        <v>12</v>
      </c>
      <c r="H40" s="4">
        <v>82000</v>
      </c>
      <c r="I40" s="141"/>
      <c r="J40" s="4">
        <v>89900</v>
      </c>
      <c r="K40" s="141">
        <v>9</v>
      </c>
      <c r="M40" s="4">
        <f>C40-E40+SUM(H40:H41)-SUM(J40:J41)</f>
        <v>-75900</v>
      </c>
      <c r="N40" s="4">
        <f>IF(M40&gt;0,+M40,0)</f>
        <v>0</v>
      </c>
      <c r="P40" s="4">
        <f>IF(M40&lt;0,-M40,0)</f>
        <v>75900</v>
      </c>
      <c r="R40" s="4">
        <f>IF($A40=$S$8,+N40,0)</f>
        <v>0</v>
      </c>
      <c r="T40" s="3">
        <f>IF($A40=$S$8,+P40,0)</f>
        <v>0</v>
      </c>
      <c r="V40" s="3">
        <f>IF($A40=$W$8,+N40,0)</f>
        <v>0</v>
      </c>
      <c r="X40" s="3">
        <f>IF($A40=$W$8,+P40,0)</f>
        <v>75900</v>
      </c>
    </row>
    <row r="41" spans="1:24" ht="5" customHeight="1">
      <c r="B41" s="23"/>
      <c r="C41" s="23"/>
      <c r="D41" s="23"/>
      <c r="E41" s="18"/>
      <c r="G41" s="141"/>
      <c r="I41" s="141"/>
      <c r="K41" s="141"/>
    </row>
    <row r="42" spans="1:24">
      <c r="A42" s="3">
        <v>1</v>
      </c>
      <c r="B42" s="3" t="s">
        <v>254</v>
      </c>
      <c r="E42" s="4">
        <v>500</v>
      </c>
      <c r="G42" s="141">
        <v>11</v>
      </c>
      <c r="H42" s="4">
        <v>500</v>
      </c>
      <c r="I42" s="141"/>
      <c r="J42" s="4">
        <v>450</v>
      </c>
      <c r="K42" s="141">
        <v>16</v>
      </c>
      <c r="M42" s="4">
        <f>C42-E42+SUM(H42:H43)-SUM(J42:J43)</f>
        <v>-450</v>
      </c>
      <c r="N42" s="4">
        <f>IF(M42&gt;0,+M42,0)</f>
        <v>0</v>
      </c>
      <c r="P42" s="4">
        <f>IF(M42&lt;0,-M42,0)</f>
        <v>450</v>
      </c>
      <c r="R42" s="4">
        <f>IF($A42=$S$8,+N42,0)</f>
        <v>0</v>
      </c>
      <c r="T42" s="3">
        <f>IF($A42=$S$8,+P42,0)</f>
        <v>0</v>
      </c>
      <c r="V42" s="3">
        <f>IF($A42=$W$8,+N42,0)</f>
        <v>0</v>
      </c>
      <c r="X42" s="3">
        <f>IF($A42=$W$8,+P42,0)</f>
        <v>450</v>
      </c>
    </row>
    <row r="43" spans="1:24" ht="5" customHeight="1">
      <c r="B43" s="23"/>
      <c r="C43" s="23"/>
      <c r="D43" s="23"/>
      <c r="E43" s="18"/>
      <c r="G43" s="141"/>
      <c r="I43" s="141"/>
      <c r="K43" s="141"/>
    </row>
    <row r="44" spans="1:24">
      <c r="A44" s="3">
        <v>1</v>
      </c>
      <c r="B44" s="3" t="s">
        <v>255</v>
      </c>
      <c r="E44" s="4">
        <v>30000</v>
      </c>
      <c r="G44" s="141"/>
      <c r="I44" s="141"/>
      <c r="J44" s="4">
        <v>4500</v>
      </c>
      <c r="K44" s="141">
        <v>4</v>
      </c>
      <c r="M44" s="4">
        <f>C44-E44+SUM(H44:H45)-SUM(J44:J45)</f>
        <v>-34500</v>
      </c>
      <c r="N44" s="4">
        <f>IF(M44&gt;0,+M44,0)</f>
        <v>0</v>
      </c>
      <c r="P44" s="4">
        <f>IF(M44&lt;0,-M44,0)</f>
        <v>34500</v>
      </c>
      <c r="R44" s="4">
        <f>IF($A44=$S$8,+N44,0)</f>
        <v>0</v>
      </c>
      <c r="T44" s="3">
        <f>IF($A44=$S$8,+P44,0)</f>
        <v>0</v>
      </c>
      <c r="V44" s="3">
        <f>IF($A44=$W$8,+N44,0)</f>
        <v>0</v>
      </c>
      <c r="X44" s="3">
        <f>IF($A44=$W$8,+P44,0)</f>
        <v>34500</v>
      </c>
    </row>
    <row r="45" spans="1:24" ht="5" customHeight="1">
      <c r="B45" s="23"/>
      <c r="C45" s="23"/>
      <c r="D45" s="23"/>
      <c r="E45" s="18"/>
      <c r="G45" s="141"/>
      <c r="I45" s="141"/>
      <c r="K45" s="141"/>
    </row>
    <row r="46" spans="1:24">
      <c r="A46" s="3">
        <v>1</v>
      </c>
      <c r="B46" s="3" t="s">
        <v>601</v>
      </c>
      <c r="E46" s="4">
        <v>720000</v>
      </c>
      <c r="G46" s="141">
        <v>17</v>
      </c>
      <c r="H46" s="4">
        <v>80000</v>
      </c>
      <c r="I46" s="141"/>
      <c r="K46" s="141"/>
      <c r="M46" s="4">
        <f>C46-E46+SUM(H46:H49)-SUM(J46:J49)</f>
        <v>-640000</v>
      </c>
      <c r="N46" s="4">
        <f>IF(M46&gt;0,+M46,0)</f>
        <v>0</v>
      </c>
      <c r="P46" s="4">
        <f>IF(M46&lt;0,-M46,0)</f>
        <v>640000</v>
      </c>
      <c r="R46" s="4">
        <f>IF($A46=$S$8,+N46,0)</f>
        <v>0</v>
      </c>
      <c r="T46" s="3">
        <f>IF($A46=$S$8,+P46,0)</f>
        <v>0</v>
      </c>
      <c r="V46" s="3">
        <f>IF($A46=$W$8,+N46,0)</f>
        <v>0</v>
      </c>
      <c r="X46" s="3">
        <f>IF($A46=$W$8,+P46,0)</f>
        <v>640000</v>
      </c>
    </row>
    <row r="47" spans="1:24" ht="5.25" customHeight="1">
      <c r="B47" s="23"/>
      <c r="C47" s="23"/>
      <c r="D47" s="23"/>
      <c r="E47" s="23"/>
      <c r="G47" s="150"/>
      <c r="I47" s="150"/>
      <c r="K47" s="150"/>
    </row>
    <row r="48" spans="1:24">
      <c r="A48" s="3">
        <v>1</v>
      </c>
      <c r="B48" s="3" t="s">
        <v>600</v>
      </c>
      <c r="E48" s="4">
        <v>80000</v>
      </c>
      <c r="G48" s="150">
        <v>11</v>
      </c>
      <c r="H48" s="4">
        <v>80000</v>
      </c>
      <c r="I48" s="150"/>
      <c r="J48" s="4">
        <v>80000</v>
      </c>
      <c r="K48" s="150">
        <v>17</v>
      </c>
      <c r="M48" s="4">
        <f>C48-E48+SUM(H48:H51)-SUM(J48:J51)</f>
        <v>-80000</v>
      </c>
      <c r="P48" s="4">
        <f>IF(M48&lt;0,-M48,0)</f>
        <v>80000</v>
      </c>
      <c r="X48" s="3">
        <f>IF($A48=$W$8,+P48,0)</f>
        <v>80000</v>
      </c>
    </row>
    <row r="49" spans="1:24" ht="5" customHeight="1">
      <c r="B49" s="23"/>
      <c r="C49" s="23"/>
      <c r="D49" s="23"/>
      <c r="E49" s="18"/>
      <c r="G49" s="141"/>
      <c r="I49" s="141"/>
      <c r="K49" s="141"/>
    </row>
    <row r="50" spans="1:24">
      <c r="A50" s="3">
        <v>1</v>
      </c>
      <c r="B50" s="3" t="s">
        <v>184</v>
      </c>
      <c r="E50" s="4">
        <v>25000</v>
      </c>
      <c r="G50" s="141"/>
      <c r="I50" s="141"/>
      <c r="K50" s="141"/>
      <c r="M50" s="4">
        <f>C50-E50+SUM(H50:H51)-SUM(J50:J51)</f>
        <v>-25000</v>
      </c>
      <c r="N50" s="4">
        <f>IF(M50&gt;0,+M50,0)</f>
        <v>0</v>
      </c>
      <c r="P50" s="4">
        <f>IF(M50&lt;0,-M50,0)</f>
        <v>25000</v>
      </c>
      <c r="R50" s="4">
        <f>IF($A50=$S$8,+N50,0)</f>
        <v>0</v>
      </c>
      <c r="T50" s="3">
        <f>IF($A50=$S$8,+P50,0)</f>
        <v>0</v>
      </c>
      <c r="V50" s="3">
        <f>IF($A50=$W$8,+N50,0)</f>
        <v>0</v>
      </c>
      <c r="X50" s="3">
        <f>IF($A50=$W$8,+P50,0)</f>
        <v>25000</v>
      </c>
    </row>
    <row r="51" spans="1:24" ht="5" customHeight="1">
      <c r="B51" s="23"/>
      <c r="C51" s="23"/>
      <c r="D51" s="23"/>
      <c r="E51" s="18"/>
      <c r="G51" s="141"/>
      <c r="I51" s="141"/>
      <c r="K51" s="141"/>
    </row>
    <row r="52" spans="1:24">
      <c r="A52" s="3">
        <v>1</v>
      </c>
      <c r="B52" s="3" t="s">
        <v>186</v>
      </c>
      <c r="E52" s="4">
        <v>2519400</v>
      </c>
      <c r="G52" s="141"/>
      <c r="I52" s="141"/>
      <c r="K52" s="141"/>
      <c r="M52" s="4">
        <f>C52-E52+SUM(H52:H53)-SUM(J52:J53)</f>
        <v>-2519400</v>
      </c>
      <c r="N52" s="4">
        <f>IF(M52&gt;0,+M52,0)</f>
        <v>0</v>
      </c>
      <c r="P52" s="4">
        <f>IF(M52&lt;0,-M52,0)</f>
        <v>2519400</v>
      </c>
      <c r="R52" s="4">
        <f>IF($A52=$S$8,+N52,0)</f>
        <v>0</v>
      </c>
      <c r="T52" s="3">
        <f>IF($A52=$S$8,+P52,0)</f>
        <v>0</v>
      </c>
      <c r="V52" s="3">
        <f>IF($A52=$W$8,+N52,0)</f>
        <v>0</v>
      </c>
      <c r="X52" s="3">
        <f>IF($A52=$W$8,+P52,0)</f>
        <v>2519400</v>
      </c>
    </row>
    <row r="53" spans="1:24" ht="5" customHeight="1">
      <c r="B53" s="23"/>
      <c r="C53" s="23"/>
      <c r="D53" s="23"/>
      <c r="E53" s="18"/>
      <c r="G53" s="141"/>
      <c r="I53" s="141"/>
      <c r="K53" s="141"/>
    </row>
    <row r="54" spans="1:24">
      <c r="A54" s="3">
        <v>2</v>
      </c>
      <c r="B54" s="3" t="s">
        <v>256</v>
      </c>
      <c r="G54" s="141"/>
      <c r="I54" s="141"/>
      <c r="J54" s="4">
        <f>530000-5160</f>
        <v>524840</v>
      </c>
      <c r="K54" s="141">
        <v>1</v>
      </c>
      <c r="M54" s="4">
        <f>C54-E54+SUM(H54:H55)-SUM(J54:J55)</f>
        <v>-524840</v>
      </c>
      <c r="N54" s="4">
        <f>IF(M54&gt;0,+M54,0)</f>
        <v>0</v>
      </c>
      <c r="P54" s="4">
        <f>IF(M54&lt;0,-M54,0)</f>
        <v>524840</v>
      </c>
      <c r="R54" s="4">
        <f>IF($A54=$S$8,+N54,0)</f>
        <v>0</v>
      </c>
      <c r="T54" s="3">
        <f>IF($A54=$S$8,+P54,0)</f>
        <v>524840</v>
      </c>
      <c r="V54" s="3">
        <f>IF($A54=$W$8,+N54,0)</f>
        <v>0</v>
      </c>
      <c r="X54" s="3">
        <f>IF($A54=$W$8,+P54,0)</f>
        <v>0</v>
      </c>
    </row>
    <row r="55" spans="1:24" ht="5" customHeight="1">
      <c r="B55" s="23"/>
      <c r="C55" s="23"/>
      <c r="D55" s="23"/>
      <c r="E55" s="18"/>
      <c r="G55" s="141"/>
      <c r="I55" s="141"/>
      <c r="K55" s="141"/>
    </row>
    <row r="56" spans="1:24">
      <c r="A56" s="3">
        <v>2</v>
      </c>
      <c r="B56" s="3" t="s">
        <v>257</v>
      </c>
      <c r="G56" s="141"/>
      <c r="I56" s="141"/>
      <c r="J56" s="4">
        <f>320000-3015</f>
        <v>316985</v>
      </c>
      <c r="K56" s="141">
        <v>1</v>
      </c>
      <c r="M56" s="4">
        <f>C56-E56+SUM(H56:H57)-SUM(J56:J57)</f>
        <v>-316985</v>
      </c>
      <c r="N56" s="4">
        <f>IF(M56&gt;0,+M56,0)</f>
        <v>0</v>
      </c>
      <c r="P56" s="4">
        <f>IF(M56&lt;0,-M56,0)</f>
        <v>316985</v>
      </c>
      <c r="R56" s="4">
        <f>IF($A56=$S$8,+N56,0)</f>
        <v>0</v>
      </c>
      <c r="T56" s="3">
        <f>IF($A56=$S$8,+P56,0)</f>
        <v>316985</v>
      </c>
      <c r="V56" s="3">
        <f>IF($A56=$W$8,+N56,0)</f>
        <v>0</v>
      </c>
      <c r="X56" s="3">
        <f>IF($A56=$W$8,+P56,0)</f>
        <v>0</v>
      </c>
    </row>
    <row r="57" spans="1:24" ht="6" customHeight="1">
      <c r="B57" s="23"/>
      <c r="C57" s="23"/>
      <c r="D57" s="23"/>
      <c r="E57" s="18"/>
      <c r="G57" s="141"/>
      <c r="I57" s="141"/>
      <c r="K57" s="141"/>
    </row>
    <row r="58" spans="1:24">
      <c r="A58" s="3">
        <v>2</v>
      </c>
      <c r="B58" s="3" t="s">
        <v>258</v>
      </c>
      <c r="G58" s="141">
        <v>5</v>
      </c>
      <c r="H58" s="4">
        <v>190000</v>
      </c>
      <c r="I58" s="141"/>
      <c r="K58" s="141"/>
      <c r="M58" s="4">
        <f>C58-E58+SUM(H58:H60)-SUM(J58:J60)</f>
        <v>190000</v>
      </c>
      <c r="N58" s="4">
        <f>IF(M58&gt;0,+M58,0)</f>
        <v>190000</v>
      </c>
      <c r="P58" s="4">
        <f>IF(M58&lt;0,-M58,0)</f>
        <v>0</v>
      </c>
      <c r="R58" s="4">
        <f>IF($A58=$S$8,+N58,0)</f>
        <v>190000</v>
      </c>
      <c r="T58" s="3">
        <f>IF($A58=$S$8,+P58,0)</f>
        <v>0</v>
      </c>
      <c r="V58" s="3">
        <f>IF($A58=$W$8,+N58,0)</f>
        <v>0</v>
      </c>
      <c r="X58" s="3">
        <f>IF($A58=$W$8,+P58,0)</f>
        <v>0</v>
      </c>
    </row>
    <row r="59" spans="1:24">
      <c r="G59" s="141"/>
      <c r="I59" s="141"/>
      <c r="K59" s="141"/>
    </row>
    <row r="60" spans="1:24" ht="5" customHeight="1">
      <c r="B60" s="23"/>
      <c r="C60" s="23"/>
      <c r="D60" s="23"/>
      <c r="E60" s="18"/>
      <c r="G60" s="141"/>
      <c r="I60" s="141"/>
      <c r="K60" s="141"/>
    </row>
    <row r="61" spans="1:24" ht="15" customHeight="1">
      <c r="A61" s="3">
        <v>2</v>
      </c>
      <c r="B61" s="4" t="s">
        <v>259</v>
      </c>
      <c r="C61" s="4"/>
      <c r="D61" s="4"/>
      <c r="G61" s="141">
        <v>5</v>
      </c>
      <c r="H61" s="4">
        <v>12000</v>
      </c>
      <c r="I61" s="141"/>
      <c r="K61" s="141"/>
      <c r="M61" s="4">
        <f>C61-E61+SUM(H61:H62)-SUM(J61:J62)</f>
        <v>12000</v>
      </c>
      <c r="N61" s="4">
        <f>IF(M61&gt;0,+M61,0)</f>
        <v>12000</v>
      </c>
      <c r="P61" s="4">
        <f>IF(M61&lt;0,-M61,0)</f>
        <v>0</v>
      </c>
      <c r="R61" s="4">
        <f>IF($A61=$S$8,+N61,0)</f>
        <v>12000</v>
      </c>
      <c r="T61" s="3">
        <f>IF($A61=$S$8,+P61,0)</f>
        <v>0</v>
      </c>
      <c r="V61" s="3">
        <f>IF($A61=$W$8,+N61,0)</f>
        <v>0</v>
      </c>
      <c r="X61" s="3">
        <f>IF($A61=$W$8,+P61,0)</f>
        <v>0</v>
      </c>
    </row>
    <row r="62" spans="1:24" ht="5" customHeight="1">
      <c r="B62" s="23"/>
      <c r="C62" s="23"/>
      <c r="D62" s="23"/>
      <c r="E62" s="18"/>
      <c r="G62" s="141"/>
      <c r="I62" s="141"/>
      <c r="K62" s="141"/>
    </row>
    <row r="63" spans="1:24">
      <c r="A63" s="3">
        <v>1</v>
      </c>
      <c r="B63" s="3" t="s">
        <v>16</v>
      </c>
      <c r="G63" s="141">
        <v>6</v>
      </c>
      <c r="H63" s="4">
        <v>120000</v>
      </c>
      <c r="I63" s="141"/>
      <c r="K63" s="141"/>
      <c r="M63" s="4">
        <f>C63-E63+SUM(H63:H64)-SUM(J63:J64)</f>
        <v>120000</v>
      </c>
      <c r="N63" s="4">
        <f>IF(M63&gt;0,+M63,0)</f>
        <v>120000</v>
      </c>
      <c r="P63" s="4">
        <f>IF(M63&lt;0,-M63,0)</f>
        <v>0</v>
      </c>
      <c r="R63" s="4">
        <f>IF($A63=$S$8,+N63,0)</f>
        <v>0</v>
      </c>
      <c r="T63" s="3">
        <f>IF($A63=$S$8,+P63,0)</f>
        <v>0</v>
      </c>
      <c r="V63" s="3">
        <f>IF($A63=$W$8,+N63,0)</f>
        <v>120000</v>
      </c>
      <c r="X63" s="3">
        <f>IF($A63=$W$8,+P63,0)</f>
        <v>0</v>
      </c>
    </row>
    <row r="64" spans="1:24" ht="5" customHeight="1">
      <c r="B64" s="23"/>
      <c r="C64" s="23"/>
      <c r="D64" s="23"/>
      <c r="E64" s="18"/>
      <c r="G64" s="141"/>
      <c r="I64" s="141"/>
      <c r="K64" s="141"/>
    </row>
    <row r="65" spans="1:24">
      <c r="A65" s="3">
        <v>2</v>
      </c>
      <c r="B65" s="3" t="s">
        <v>260</v>
      </c>
      <c r="G65" s="141">
        <v>7</v>
      </c>
      <c r="H65" s="4">
        <v>33000</v>
      </c>
      <c r="I65" s="141"/>
      <c r="K65" s="141"/>
      <c r="M65" s="4">
        <f>C65-E65+SUM(H65:H66)-SUM(J65:J66)</f>
        <v>33000</v>
      </c>
      <c r="N65" s="4">
        <f>IF(M65&gt;0,+M65,0)</f>
        <v>33000</v>
      </c>
      <c r="P65" s="4">
        <f>IF(M65&lt;0,-M65,0)</f>
        <v>0</v>
      </c>
      <c r="R65" s="4">
        <f>IF($A65=$S$8,+N65,0)</f>
        <v>33000</v>
      </c>
      <c r="T65" s="3">
        <f>IF($A65=$S$8,+P65,0)</f>
        <v>0</v>
      </c>
      <c r="V65" s="3">
        <f>IF($A65=$W$8,+N65,0)</f>
        <v>0</v>
      </c>
      <c r="X65" s="3">
        <f>IF($A65=$W$8,+P65,0)</f>
        <v>0</v>
      </c>
    </row>
    <row r="66" spans="1:24" ht="5" customHeight="1">
      <c r="B66" s="23"/>
      <c r="C66" s="23"/>
      <c r="D66" s="23"/>
      <c r="E66" s="18"/>
      <c r="G66" s="141"/>
      <c r="I66" s="141"/>
      <c r="K66" s="141"/>
    </row>
    <row r="67" spans="1:24">
      <c r="A67" s="3">
        <v>1</v>
      </c>
      <c r="B67" s="3" t="s">
        <v>261</v>
      </c>
      <c r="G67" s="141"/>
      <c r="I67" s="141"/>
      <c r="J67" s="4">
        <v>3000</v>
      </c>
      <c r="K67" s="141">
        <v>7</v>
      </c>
      <c r="M67" s="4">
        <f>C67-E67+SUM(H67:H68)-SUM(J67:J68)</f>
        <v>-3000</v>
      </c>
      <c r="N67" s="4">
        <f>IF(M67&gt;0,+M67,0)</f>
        <v>0</v>
      </c>
      <c r="P67" s="4">
        <f>IF(M67&lt;0,-M67,0)</f>
        <v>3000</v>
      </c>
      <c r="R67" s="4">
        <f>IF($A67=$S$8,+N67,0)</f>
        <v>0</v>
      </c>
      <c r="T67" s="3">
        <f>IF($A67=$S$8,+P67,0)</f>
        <v>0</v>
      </c>
      <c r="V67" s="3">
        <f>IF($A67=$W$8,+N67,0)</f>
        <v>0</v>
      </c>
      <c r="X67" s="3">
        <f>IF($A67=$W$8,+P67,0)</f>
        <v>3000</v>
      </c>
    </row>
    <row r="68" spans="1:24" ht="5" customHeight="1">
      <c r="B68" s="23"/>
      <c r="C68" s="23"/>
      <c r="D68" s="23"/>
      <c r="E68" s="18"/>
      <c r="G68" s="141"/>
      <c r="I68" s="141"/>
      <c r="K68" s="141"/>
    </row>
    <row r="69" spans="1:24">
      <c r="A69" s="3">
        <v>2</v>
      </c>
      <c r="B69" s="3" t="s">
        <v>262</v>
      </c>
      <c r="G69" s="141"/>
      <c r="I69" s="141"/>
      <c r="J69" s="4">
        <v>8000</v>
      </c>
      <c r="K69" s="141">
        <v>8</v>
      </c>
      <c r="M69" s="4">
        <f>C69-E69+SUM(H69:H70)-SUM(J69:J70)</f>
        <v>-8000</v>
      </c>
      <c r="N69" s="4">
        <f>IF(M69&gt;0,+M69,0)</f>
        <v>0</v>
      </c>
      <c r="P69" s="4">
        <f>IF(M69&lt;0,-M69,0)</f>
        <v>8000</v>
      </c>
      <c r="R69" s="4">
        <f>IF($A69=$S$8,+N69,0)</f>
        <v>0</v>
      </c>
      <c r="T69" s="3">
        <f>IF($A69=$S$8,+P69,0)</f>
        <v>8000</v>
      </c>
      <c r="V69" s="3">
        <f>IF($A69=$W$8,+N69,0)</f>
        <v>0</v>
      </c>
      <c r="X69" s="3">
        <f>IF($A69=$W$8,+P69,0)</f>
        <v>0</v>
      </c>
    </row>
    <row r="70" spans="1:24" ht="5" customHeight="1">
      <c r="B70" s="23"/>
      <c r="C70" s="23"/>
      <c r="D70" s="23"/>
      <c r="E70" s="18"/>
      <c r="G70" s="141"/>
      <c r="I70" s="141"/>
      <c r="K70" s="141"/>
    </row>
    <row r="71" spans="1:24">
      <c r="A71" s="3">
        <v>2</v>
      </c>
      <c r="B71" s="3" t="s">
        <v>263</v>
      </c>
      <c r="G71" s="141">
        <v>10</v>
      </c>
      <c r="H71" s="4">
        <v>88700</v>
      </c>
      <c r="I71" s="141"/>
      <c r="K71" s="141"/>
      <c r="M71" s="4">
        <f>C71-E71+SUM(H71:H72)-SUM(J71:J72)</f>
        <v>88700</v>
      </c>
      <c r="N71" s="4">
        <f>IF(M71&gt;0,+M71,0)</f>
        <v>88700</v>
      </c>
      <c r="P71" s="4">
        <f>IF(M71&lt;0,-M71,0)</f>
        <v>0</v>
      </c>
      <c r="R71" s="4">
        <f>IF($A71=$S$8,+N71,0)</f>
        <v>88700</v>
      </c>
      <c r="T71" s="3">
        <f>IF($A71=$S$8,+P71,0)</f>
        <v>0</v>
      </c>
      <c r="V71" s="3">
        <f>IF($A71=$W$8,+N71,0)</f>
        <v>0</v>
      </c>
      <c r="X71" s="3">
        <f>IF($A71=$W$8,+P71,0)</f>
        <v>0</v>
      </c>
    </row>
    <row r="72" spans="1:24" ht="5" customHeight="1">
      <c r="B72" s="23"/>
      <c r="C72" s="23"/>
      <c r="D72" s="23"/>
      <c r="E72" s="18"/>
      <c r="G72" s="141"/>
      <c r="I72" s="141"/>
      <c r="K72" s="141"/>
    </row>
    <row r="73" spans="1:24">
      <c r="A73" s="3">
        <v>2</v>
      </c>
      <c r="B73" s="3" t="s">
        <v>264</v>
      </c>
      <c r="G73" s="141">
        <v>11</v>
      </c>
      <c r="H73" s="4">
        <v>39500</v>
      </c>
      <c r="I73" s="141"/>
      <c r="K73" s="141"/>
      <c r="M73" s="4">
        <f>C73-E73+SUM(H73:H75)-SUM(J73:J75)</f>
        <v>39950</v>
      </c>
      <c r="N73" s="4">
        <f>IF(M73&gt;0,+M73,0)</f>
        <v>39950</v>
      </c>
      <c r="P73" s="4">
        <f>IF(M73&lt;0,-M73,0)</f>
        <v>0</v>
      </c>
      <c r="R73" s="4">
        <f>IF($A73=$S$8,+N73,0)</f>
        <v>39950</v>
      </c>
      <c r="T73" s="3">
        <f>IF($A73=$S$8,+P73,0)</f>
        <v>0</v>
      </c>
      <c r="V73" s="3">
        <f>IF($A73=$W$8,+N73,0)</f>
        <v>0</v>
      </c>
      <c r="X73" s="3">
        <f>IF($A73=$W$8,+P73,0)</f>
        <v>0</v>
      </c>
    </row>
    <row r="74" spans="1:24">
      <c r="G74" s="141">
        <v>15</v>
      </c>
      <c r="H74" s="4">
        <v>450</v>
      </c>
      <c r="I74" s="141"/>
      <c r="K74" s="141"/>
    </row>
    <row r="75" spans="1:24" ht="5" customHeight="1">
      <c r="B75" s="23"/>
      <c r="C75" s="23"/>
      <c r="D75" s="23"/>
      <c r="E75" s="18"/>
      <c r="G75" s="141"/>
      <c r="I75" s="141"/>
      <c r="K75" s="141"/>
    </row>
    <row r="76" spans="1:24">
      <c r="A76" s="3">
        <v>2</v>
      </c>
      <c r="B76" s="3" t="s">
        <v>265</v>
      </c>
      <c r="G76" s="141">
        <v>13</v>
      </c>
      <c r="H76" s="4">
        <v>150000</v>
      </c>
      <c r="I76" s="141"/>
      <c r="K76" s="141"/>
      <c r="M76" s="4">
        <f>C76-E76+SUM(H76:H77)-SUM(J76:J77)</f>
        <v>150000</v>
      </c>
      <c r="N76" s="4">
        <f>IF(M76&gt;0,+M76,0)</f>
        <v>150000</v>
      </c>
      <c r="P76" s="4">
        <f>IF(M76&lt;0,-M76,0)</f>
        <v>0</v>
      </c>
      <c r="R76" s="4">
        <f>IF($A76=$S$8,+N76,0)</f>
        <v>150000</v>
      </c>
      <c r="T76" s="3">
        <f>IF($A76=$S$8,+P76,0)</f>
        <v>0</v>
      </c>
      <c r="V76" s="3">
        <f>IF($A76=$W$8,+N76,0)</f>
        <v>0</v>
      </c>
      <c r="X76" s="3">
        <f>IF($A76=$W$8,+P76,0)</f>
        <v>0</v>
      </c>
    </row>
    <row r="77" spans="1:24" ht="4.5" customHeight="1">
      <c r="B77" s="23"/>
      <c r="C77" s="23"/>
      <c r="D77" s="23"/>
      <c r="E77" s="18"/>
      <c r="G77" s="141"/>
      <c r="I77" s="141"/>
      <c r="K77" s="141"/>
    </row>
    <row r="78" spans="1:24">
      <c r="A78" s="3">
        <v>2</v>
      </c>
      <c r="B78" s="3" t="s">
        <v>266</v>
      </c>
      <c r="G78" s="141">
        <v>13</v>
      </c>
      <c r="H78" s="4">
        <v>40000</v>
      </c>
      <c r="I78" s="141"/>
      <c r="K78" s="141"/>
      <c r="M78" s="4">
        <f>C78-E78+SUM(H78:H79)-SUM(J78:J79)</f>
        <v>40000</v>
      </c>
      <c r="N78" s="4">
        <f>IF(M78&gt;0,+M78,0)</f>
        <v>40000</v>
      </c>
      <c r="P78" s="4">
        <f>IF(M78&lt;0,-M78,0)</f>
        <v>0</v>
      </c>
      <c r="R78" s="4">
        <f>IF($A78=$S$8,+N78,0)</f>
        <v>40000</v>
      </c>
      <c r="T78" s="3">
        <f>IF($A78=$S$8,+P78,0)</f>
        <v>0</v>
      </c>
      <c r="V78" s="3">
        <f>IF($A78=$W$8,+N78,0)</f>
        <v>0</v>
      </c>
      <c r="X78" s="3">
        <f>IF($A78=$W$8,+P78,0)</f>
        <v>0</v>
      </c>
    </row>
    <row r="79" spans="1:24" ht="4.5" customHeight="1">
      <c r="B79" s="23"/>
      <c r="C79" s="23"/>
      <c r="D79" s="23"/>
      <c r="E79" s="18"/>
      <c r="G79" s="141"/>
      <c r="I79" s="141"/>
      <c r="K79" s="141"/>
    </row>
    <row r="80" spans="1:24">
      <c r="A80" s="3">
        <v>2</v>
      </c>
      <c r="B80" s="3" t="s">
        <v>267</v>
      </c>
      <c r="G80" s="141">
        <v>13</v>
      </c>
      <c r="H80" s="4">
        <v>110000</v>
      </c>
      <c r="I80" s="141"/>
      <c r="K80" s="141"/>
      <c r="M80" s="4">
        <f>C80-E80+SUM(H80:H81)-SUM(J80:J81)</f>
        <v>110000</v>
      </c>
      <c r="N80" s="4">
        <f>IF(M80&gt;0,+M80,0)</f>
        <v>110000</v>
      </c>
      <c r="P80" s="4">
        <f>IF(M80&lt;0,-M80,0)</f>
        <v>0</v>
      </c>
      <c r="R80" s="4">
        <f>IF($A80=$S$8,+N80,0)</f>
        <v>110000</v>
      </c>
      <c r="T80" s="3">
        <f>IF($A80=$S$8,+P80,0)</f>
        <v>0</v>
      </c>
      <c r="V80" s="3">
        <f>IF($A80=$W$8,+N80,0)</f>
        <v>0</v>
      </c>
      <c r="X80" s="3">
        <f>IF($A80=$W$8,+P80,0)</f>
        <v>0</v>
      </c>
    </row>
    <row r="81" spans="1:24" ht="4.5" customHeight="1">
      <c r="B81" s="23"/>
      <c r="C81" s="23"/>
      <c r="D81" s="23"/>
      <c r="E81" s="18"/>
      <c r="G81" s="141"/>
      <c r="I81" s="141"/>
      <c r="K81" s="141"/>
    </row>
    <row r="82" spans="1:24">
      <c r="A82" s="3">
        <v>2</v>
      </c>
      <c r="B82" s="3" t="s">
        <v>268</v>
      </c>
      <c r="G82" s="141">
        <v>14</v>
      </c>
      <c r="H82" s="4">
        <v>100000</v>
      </c>
      <c r="I82" s="141"/>
      <c r="K82" s="141"/>
      <c r="M82" s="4">
        <f>C82-E82+SUM(H82:H83)-SUM(J82:J83)</f>
        <v>100000</v>
      </c>
      <c r="N82" s="4">
        <f>IF(M82&gt;0,+M82,0)</f>
        <v>100000</v>
      </c>
      <c r="P82" s="4">
        <f>IF(M82&lt;0,-M82,0)</f>
        <v>0</v>
      </c>
      <c r="R82" s="4">
        <f>IF($A82=$S$8,+N82,0)</f>
        <v>100000</v>
      </c>
      <c r="T82" s="3">
        <f>IF($A82=$S$8,+P82,0)</f>
        <v>0</v>
      </c>
      <c r="V82" s="3">
        <f>IF($A82=$W$8,+N82,0)</f>
        <v>0</v>
      </c>
      <c r="X82" s="3">
        <f>IF($A82=$W$8,+P82,0)</f>
        <v>0</v>
      </c>
    </row>
    <row r="83" spans="1:24" ht="4.5" customHeight="1">
      <c r="B83" s="23"/>
      <c r="C83" s="23"/>
      <c r="D83" s="23"/>
      <c r="E83" s="18"/>
      <c r="G83" s="141"/>
      <c r="I83" s="141"/>
      <c r="K83" s="141"/>
    </row>
    <row r="84" spans="1:24">
      <c r="A84" s="3">
        <v>1</v>
      </c>
      <c r="B84" s="3" t="s">
        <v>269</v>
      </c>
      <c r="G84" s="141"/>
      <c r="I84" s="141"/>
      <c r="K84" s="141"/>
      <c r="M84" s="4">
        <f>C84-E84+SUM(H84:H85)-SUM(J84:J85)</f>
        <v>0</v>
      </c>
      <c r="N84" s="4">
        <f>IF(M84&gt;0,+M84,0)</f>
        <v>0</v>
      </c>
      <c r="P84" s="4">
        <f>IF(M84&lt;0,-M84,0)</f>
        <v>0</v>
      </c>
      <c r="R84" s="4">
        <f>IF($A84=$S$8,+N84,0)</f>
        <v>0</v>
      </c>
      <c r="T84" s="3">
        <f>IF($A84=$S$8,+P84,0)</f>
        <v>0</v>
      </c>
      <c r="V84" s="3">
        <f>IF($A84=$W$8,+N84,0)</f>
        <v>0</v>
      </c>
      <c r="X84" s="3">
        <f>IF($A84=$W$8,+P84,0)</f>
        <v>0</v>
      </c>
    </row>
    <row r="85" spans="1:24" ht="4.5" customHeight="1">
      <c r="B85" s="23"/>
      <c r="C85" s="23"/>
      <c r="D85" s="23"/>
      <c r="E85" s="18"/>
      <c r="G85" s="141"/>
      <c r="I85" s="141"/>
      <c r="K85" s="141"/>
    </row>
    <row r="86" spans="1:24">
      <c r="A86" s="3">
        <v>1</v>
      </c>
      <c r="B86" s="3" t="s">
        <v>270</v>
      </c>
      <c r="G86" s="141">
        <v>1</v>
      </c>
      <c r="H86" s="4">
        <v>22500</v>
      </c>
      <c r="I86" s="141"/>
      <c r="K86" s="141"/>
      <c r="M86" s="4">
        <f>C86-E86+SUM(H86:H87)-SUM(J86:J87)</f>
        <v>22500</v>
      </c>
      <c r="N86" s="4">
        <f>IF(M86&gt;0,+M86,0)</f>
        <v>22500</v>
      </c>
      <c r="P86" s="4">
        <f>IF(M86&lt;0,-M86,0)</f>
        <v>0</v>
      </c>
      <c r="R86" s="4">
        <f>IF($A86=$S$8,+N86,0)</f>
        <v>0</v>
      </c>
      <c r="T86" s="3">
        <f>IF($A86=$S$8,+P86,0)</f>
        <v>0</v>
      </c>
      <c r="V86" s="3">
        <f>IF($A86=$W$8,+N86,0)</f>
        <v>22500</v>
      </c>
      <c r="X86" s="3">
        <f>IF($A86=$W$8,+P86,0)</f>
        <v>0</v>
      </c>
    </row>
    <row r="87" spans="1:24" ht="4.5" customHeight="1">
      <c r="B87" s="23"/>
      <c r="C87" s="23"/>
      <c r="D87" s="23"/>
      <c r="E87" s="18"/>
      <c r="G87" s="141"/>
      <c r="I87" s="141"/>
      <c r="K87" s="141"/>
    </row>
    <row r="88" spans="1:24">
      <c r="G88" s="141"/>
      <c r="I88" s="141"/>
      <c r="K88" s="141"/>
      <c r="M88" s="4">
        <f>C88-E88+SUM(H88:H89)-SUM(J88:J89)</f>
        <v>0</v>
      </c>
      <c r="N88" s="4">
        <f>IF(M88&gt;0,+M88,0)</f>
        <v>0</v>
      </c>
      <c r="P88" s="4">
        <f>IF(M88&lt;0,-M88,0)</f>
        <v>0</v>
      </c>
      <c r="R88" s="4">
        <f>IF($A88=$S$8,+N88,0)</f>
        <v>0</v>
      </c>
      <c r="T88" s="3">
        <f>IF($A88=$S$8,+P88,0)</f>
        <v>0</v>
      </c>
      <c r="V88" s="3">
        <f>IF($A88=$W$8,+N88,0)</f>
        <v>0</v>
      </c>
      <c r="X88" s="3">
        <f>IF($A88=$W$8,+P88,0)</f>
        <v>0</v>
      </c>
    </row>
    <row r="89" spans="1:24" ht="5" customHeight="1" thickBot="1">
      <c r="B89" s="23"/>
      <c r="C89" s="23"/>
      <c r="D89" s="23"/>
      <c r="E89" s="18"/>
      <c r="G89" s="141"/>
    </row>
    <row r="90" spans="1:24" ht="14" thickBot="1">
      <c r="C90" s="12">
        <f>SUM(C9:C89)</f>
        <v>7994000</v>
      </c>
      <c r="E90" s="13">
        <f>SUM(E9:E89)</f>
        <v>7994000</v>
      </c>
      <c r="H90" s="13">
        <f>SUM(H9:H89)</f>
        <v>2899950</v>
      </c>
      <c r="J90" s="13">
        <f>SUM(J9:J89)</f>
        <v>2899950</v>
      </c>
      <c r="N90" s="13">
        <f>SUM(N9:N89)</f>
        <v>9080950</v>
      </c>
      <c r="P90" s="13">
        <f>SUM(P9:P89)</f>
        <v>9080950</v>
      </c>
      <c r="R90" s="13">
        <f>SUM(R9:R89)</f>
        <v>763650</v>
      </c>
      <c r="S90" s="4"/>
      <c r="T90" s="13">
        <f>SUM(T9:T89)</f>
        <v>849825</v>
      </c>
      <c r="V90" s="13">
        <f>SUM(V9:V89)</f>
        <v>8317300</v>
      </c>
      <c r="W90" s="4"/>
      <c r="X90" s="13">
        <f>SUM(X9:X89)</f>
        <v>8231125</v>
      </c>
    </row>
    <row r="91" spans="1:24" ht="15" thickTop="1" thickBot="1">
      <c r="B91" s="3" t="s">
        <v>55</v>
      </c>
      <c r="C91" s="14"/>
      <c r="E91" s="15"/>
      <c r="H91" s="15"/>
      <c r="J91" s="15"/>
      <c r="N91" s="15"/>
      <c r="P91" s="15"/>
      <c r="R91" s="4">
        <f>IF(R90&gt;T90,0,+T90-R90)</f>
        <v>86175</v>
      </c>
      <c r="T91" s="3">
        <f>IF(T90&gt;R90,0,+R90-T90)</f>
        <v>0</v>
      </c>
      <c r="V91" s="3">
        <f>T91</f>
        <v>0</v>
      </c>
      <c r="X91" s="3">
        <f>R91</f>
        <v>86175</v>
      </c>
    </row>
    <row r="92" spans="1:24" ht="14" thickBot="1">
      <c r="R92" s="13">
        <f>R91+R90</f>
        <v>849825</v>
      </c>
      <c r="T92" s="12">
        <f>T91+T90</f>
        <v>849825</v>
      </c>
      <c r="V92" s="12">
        <f>V91+V90</f>
        <v>8317300</v>
      </c>
      <c r="X92" s="12">
        <f>X91+X90</f>
        <v>8317300</v>
      </c>
    </row>
    <row r="93" spans="1:24" ht="14" thickTop="1">
      <c r="R93" s="15"/>
      <c r="T93" s="14"/>
      <c r="V93" s="14"/>
      <c r="X93" s="14"/>
    </row>
  </sheetData>
  <mergeCells count="4">
    <mergeCell ref="A1:X1"/>
    <mergeCell ref="A2:X2"/>
    <mergeCell ref="A3:X3"/>
    <mergeCell ref="F7:L7"/>
  </mergeCells>
  <printOptions horizontalCentered="1"/>
  <pageMargins left="0.2" right="0.2" top="0.25" bottom="0.25" header="0.3" footer="0.3"/>
  <pageSetup scale="58" orientation="landscape"/>
  <extLst>
    <ext xmlns:mx="http://schemas.microsoft.com/office/mac/excel/2008/main" uri="{64002731-A6B0-56B0-2670-7721B7C09600}">
      <mx:PLV Mode="0" OnePage="0" WScale="0"/>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workbookViewId="0">
      <selection activeCell="G37" sqref="G37"/>
    </sheetView>
  </sheetViews>
  <sheetFormatPr baseColWidth="10" defaultColWidth="8.5703125" defaultRowHeight="13" x14ac:dyDescent="0"/>
  <cols>
    <col min="1" max="1" width="2.5703125" style="24" customWidth="1"/>
    <col min="2" max="2" width="30.5703125" style="24" customWidth="1"/>
    <col min="3" max="3" width="9.5703125" style="24" bestFit="1" customWidth="1"/>
    <col min="4" max="4" width="0.85546875" style="24" customWidth="1"/>
    <col min="5" max="5" width="10.42578125" style="24" bestFit="1" customWidth="1"/>
    <col min="6" max="16384" width="8.5703125" style="24"/>
  </cols>
  <sheetData>
    <row r="1" spans="1:5">
      <c r="A1" s="153" t="s">
        <v>271</v>
      </c>
      <c r="B1" s="153"/>
      <c r="C1" s="153"/>
      <c r="D1" s="153"/>
      <c r="E1" s="153"/>
    </row>
    <row r="2" spans="1:5">
      <c r="A2" s="153" t="s">
        <v>272</v>
      </c>
      <c r="B2" s="153"/>
      <c r="C2" s="153"/>
      <c r="D2" s="153"/>
      <c r="E2" s="153"/>
    </row>
    <row r="3" spans="1:5">
      <c r="A3" s="153" t="s">
        <v>273</v>
      </c>
      <c r="B3" s="153"/>
      <c r="C3" s="153"/>
      <c r="D3" s="153"/>
      <c r="E3" s="153"/>
    </row>
    <row r="4" spans="1:5">
      <c r="A4" s="153" t="s">
        <v>59</v>
      </c>
      <c r="B4" s="153"/>
      <c r="C4" s="153"/>
      <c r="D4" s="153"/>
      <c r="E4" s="153"/>
    </row>
    <row r="5" spans="1:5">
      <c r="A5" s="25"/>
      <c r="B5" s="25"/>
      <c r="C5" s="25"/>
      <c r="D5" s="25"/>
      <c r="E5" s="25"/>
    </row>
    <row r="6" spans="1:5">
      <c r="A6" s="63" t="s">
        <v>274</v>
      </c>
      <c r="B6" s="63"/>
      <c r="C6" s="25"/>
      <c r="D6" s="25"/>
      <c r="E6" s="25"/>
    </row>
    <row r="7" spans="1:5">
      <c r="A7" s="27" t="s">
        <v>275</v>
      </c>
      <c r="B7" s="27"/>
      <c r="C7" s="75"/>
      <c r="D7" s="26"/>
      <c r="E7" s="25"/>
    </row>
    <row r="8" spans="1:5">
      <c r="A8" s="27" t="s">
        <v>276</v>
      </c>
      <c r="B8" s="27"/>
      <c r="C8" s="27"/>
      <c r="D8" s="27"/>
      <c r="E8" s="75"/>
    </row>
    <row r="9" spans="1:5">
      <c r="A9" s="25"/>
      <c r="B9" s="25"/>
      <c r="C9" s="29"/>
      <c r="D9" s="27"/>
      <c r="E9" s="25"/>
    </row>
    <row r="10" spans="1:5">
      <c r="A10" s="63" t="s">
        <v>277</v>
      </c>
      <c r="B10" s="63"/>
      <c r="C10" s="27"/>
      <c r="D10" s="27"/>
      <c r="E10" s="25"/>
    </row>
    <row r="11" spans="1:5">
      <c r="A11" s="27" t="s">
        <v>278</v>
      </c>
      <c r="B11" s="27"/>
      <c r="C11" s="27"/>
      <c r="D11" s="27"/>
      <c r="E11" s="25"/>
    </row>
    <row r="12" spans="1:5">
      <c r="A12" s="27" t="s">
        <v>279</v>
      </c>
      <c r="B12" s="27"/>
      <c r="C12" s="27"/>
      <c r="D12" s="27"/>
      <c r="E12" s="25"/>
    </row>
    <row r="13" spans="1:5">
      <c r="A13" s="27" t="s">
        <v>280</v>
      </c>
      <c r="B13" s="27"/>
      <c r="C13" s="27"/>
      <c r="D13" s="27"/>
      <c r="E13" s="25"/>
    </row>
    <row r="14" spans="1:5">
      <c r="A14" s="27" t="s">
        <v>281</v>
      </c>
      <c r="B14" s="27"/>
      <c r="C14" s="27"/>
      <c r="D14" s="27"/>
      <c r="E14" s="25"/>
    </row>
    <row r="15" spans="1:5">
      <c r="A15" s="27" t="s">
        <v>282</v>
      </c>
      <c r="B15" s="27"/>
      <c r="C15" s="27"/>
      <c r="D15" s="27"/>
      <c r="E15" s="27"/>
    </row>
    <row r="16" spans="1:5">
      <c r="A16" s="27"/>
      <c r="B16" s="27"/>
      <c r="C16" s="29"/>
      <c r="D16" s="27"/>
      <c r="E16" s="29"/>
    </row>
    <row r="17" spans="1:5">
      <c r="B17" s="63" t="s">
        <v>283</v>
      </c>
      <c r="C17" s="27"/>
      <c r="D17" s="27"/>
      <c r="E17" s="27"/>
    </row>
    <row r="18" spans="1:5">
      <c r="A18" s="25"/>
      <c r="B18" s="25"/>
      <c r="C18" s="27"/>
      <c r="D18" s="27"/>
      <c r="E18" s="27"/>
    </row>
    <row r="19" spans="1:5">
      <c r="A19" s="63" t="s">
        <v>284</v>
      </c>
      <c r="B19" s="63"/>
      <c r="C19" s="27"/>
      <c r="D19" s="27"/>
      <c r="E19" s="27"/>
    </row>
    <row r="20" spans="1:5">
      <c r="A20" s="27" t="s">
        <v>285</v>
      </c>
      <c r="B20" s="27"/>
      <c r="C20" s="27"/>
      <c r="D20" s="27"/>
      <c r="E20" s="27"/>
    </row>
    <row r="21" spans="1:5">
      <c r="A21" s="27" t="s">
        <v>286</v>
      </c>
      <c r="B21" s="27"/>
      <c r="C21" s="27"/>
      <c r="D21" s="27"/>
      <c r="E21" s="27"/>
    </row>
    <row r="22" spans="1:5">
      <c r="A22" s="25"/>
      <c r="B22" s="25"/>
      <c r="C22" s="28"/>
      <c r="D22" s="25"/>
      <c r="E22" s="29"/>
    </row>
    <row r="23" spans="1:5">
      <c r="B23" s="63" t="s">
        <v>287</v>
      </c>
      <c r="C23" s="25"/>
      <c r="D23" s="25"/>
      <c r="E23" s="27"/>
    </row>
    <row r="24" spans="1:5">
      <c r="A24" s="25"/>
      <c r="B24" s="25"/>
      <c r="C24" s="25"/>
      <c r="D24" s="25"/>
      <c r="E24" s="27"/>
    </row>
    <row r="25" spans="1:5">
      <c r="A25" s="25" t="s">
        <v>288</v>
      </c>
      <c r="B25" s="25"/>
      <c r="C25" s="25"/>
      <c r="D25" s="25"/>
      <c r="E25" s="27"/>
    </row>
    <row r="26" spans="1:5">
      <c r="A26" s="25"/>
      <c r="B26" s="25"/>
      <c r="C26" s="25"/>
      <c r="D26" s="25"/>
      <c r="E26" s="29"/>
    </row>
    <row r="27" spans="1:5">
      <c r="B27" s="63" t="s">
        <v>190</v>
      </c>
      <c r="C27" s="25"/>
      <c r="D27" s="25"/>
      <c r="E27" s="27"/>
    </row>
    <row r="28" spans="1:5">
      <c r="A28" s="25"/>
      <c r="B28" s="25"/>
      <c r="C28" s="25"/>
      <c r="D28" s="25"/>
      <c r="E28" s="27"/>
    </row>
    <row r="29" spans="1:5">
      <c r="A29" s="63" t="s">
        <v>289</v>
      </c>
      <c r="B29" s="63"/>
      <c r="C29" s="25"/>
      <c r="D29" s="25"/>
      <c r="E29" s="27"/>
    </row>
    <row r="30" spans="1:5" ht="14" thickBot="1">
      <c r="A30" s="63" t="s">
        <v>290</v>
      </c>
      <c r="B30" s="63"/>
      <c r="C30" s="25"/>
      <c r="D30" s="25"/>
      <c r="E30" s="30"/>
    </row>
    <row r="31" spans="1:5" ht="14" thickTop="1">
      <c r="A31" s="25"/>
      <c r="B31" s="25"/>
      <c r="C31" s="25"/>
      <c r="D31" s="25"/>
      <c r="E31" s="25"/>
    </row>
  </sheetData>
  <mergeCells count="4">
    <mergeCell ref="A1:E1"/>
    <mergeCell ref="A2:E2"/>
    <mergeCell ref="A3:E3"/>
    <mergeCell ref="A4:E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4"/>
  <sheetViews>
    <sheetView workbookViewId="0">
      <selection activeCell="G34" sqref="G34:I46"/>
    </sheetView>
  </sheetViews>
  <sheetFormatPr baseColWidth="10" defaultColWidth="8.5703125" defaultRowHeight="13" x14ac:dyDescent="0"/>
  <cols>
    <col min="1" max="3" width="2.5703125" style="24" customWidth="1"/>
    <col min="4" max="4" width="24.42578125" style="24" customWidth="1"/>
    <col min="5" max="5" width="11.42578125" style="24" bestFit="1" customWidth="1"/>
    <col min="6" max="6" width="0.85546875" style="24" customWidth="1"/>
    <col min="7" max="7" width="10.5703125" style="24" bestFit="1" customWidth="1"/>
    <col min="8" max="8" width="0.85546875" style="24" customWidth="1"/>
    <col min="9" max="9" width="10.5703125" style="24" bestFit="1" customWidth="1"/>
    <col min="10" max="16384" width="8.5703125" style="24"/>
  </cols>
  <sheetData>
    <row r="1" spans="1:9">
      <c r="A1" s="154" t="s">
        <v>56</v>
      </c>
      <c r="B1" s="154"/>
      <c r="C1" s="154"/>
      <c r="D1" s="154"/>
      <c r="E1" s="154"/>
      <c r="F1" s="154"/>
      <c r="G1" s="154"/>
      <c r="H1" s="154"/>
      <c r="I1" s="154"/>
    </row>
    <row r="2" spans="1:9">
      <c r="A2" s="154" t="s">
        <v>272</v>
      </c>
      <c r="B2" s="154"/>
      <c r="C2" s="154"/>
      <c r="D2" s="154"/>
      <c r="E2" s="154"/>
      <c r="F2" s="154"/>
      <c r="G2" s="154"/>
      <c r="H2" s="154"/>
      <c r="I2" s="154"/>
    </row>
    <row r="3" spans="1:9">
      <c r="A3" s="154" t="s">
        <v>291</v>
      </c>
      <c r="B3" s="154"/>
      <c r="C3" s="154"/>
      <c r="D3" s="154"/>
      <c r="E3" s="154"/>
      <c r="F3" s="154"/>
      <c r="G3" s="154"/>
      <c r="H3" s="154"/>
      <c r="I3" s="154"/>
    </row>
    <row r="4" spans="1:9">
      <c r="A4" s="154" t="s">
        <v>89</v>
      </c>
      <c r="B4" s="154"/>
      <c r="C4" s="154"/>
      <c r="D4" s="154"/>
      <c r="E4" s="154"/>
      <c r="F4" s="154"/>
      <c r="G4" s="154"/>
      <c r="H4" s="154"/>
      <c r="I4" s="154"/>
    </row>
    <row r="6" spans="1:9">
      <c r="A6" s="154" t="s">
        <v>292</v>
      </c>
      <c r="B6" s="154"/>
      <c r="C6" s="154"/>
      <c r="D6" s="154"/>
      <c r="E6" s="154"/>
      <c r="F6" s="154"/>
      <c r="G6" s="154"/>
      <c r="H6" s="154"/>
      <c r="I6" s="154"/>
    </row>
    <row r="7" spans="1:9">
      <c r="A7" s="63" t="s">
        <v>293</v>
      </c>
      <c r="B7" s="63"/>
      <c r="C7" s="63"/>
      <c r="D7" s="63"/>
      <c r="E7" s="25"/>
      <c r="F7" s="25"/>
      <c r="G7" s="25"/>
      <c r="H7" s="25"/>
      <c r="I7" s="25"/>
    </row>
    <row r="8" spans="1:9">
      <c r="A8" s="25" t="s">
        <v>14</v>
      </c>
      <c r="B8" s="25"/>
      <c r="C8" s="25"/>
      <c r="D8" s="25"/>
      <c r="E8" s="25"/>
      <c r="F8" s="25"/>
      <c r="G8" s="75"/>
      <c r="H8" s="26"/>
      <c r="I8" s="25"/>
    </row>
    <row r="9" spans="1:9">
      <c r="A9" s="25" t="s">
        <v>294</v>
      </c>
      <c r="B9" s="25"/>
      <c r="C9" s="25"/>
      <c r="D9" s="25"/>
      <c r="E9" s="25"/>
      <c r="F9" s="25"/>
      <c r="G9" s="27"/>
      <c r="H9" s="27"/>
      <c r="I9" s="25"/>
    </row>
    <row r="10" spans="1:9">
      <c r="A10" s="25" t="s">
        <v>16</v>
      </c>
      <c r="B10" s="25"/>
      <c r="C10" s="25"/>
      <c r="D10" s="25"/>
      <c r="E10" s="25"/>
      <c r="F10" s="25"/>
      <c r="G10" s="27"/>
      <c r="H10" s="27"/>
      <c r="I10" s="25"/>
    </row>
    <row r="11" spans="1:9">
      <c r="A11" s="25" t="s">
        <v>295</v>
      </c>
      <c r="B11" s="25"/>
      <c r="C11" s="25"/>
      <c r="D11" s="25"/>
      <c r="E11" s="25"/>
      <c r="F11" s="25"/>
      <c r="G11" s="27"/>
      <c r="H11" s="27"/>
      <c r="I11" s="25"/>
    </row>
    <row r="12" spans="1:9">
      <c r="B12" s="25" t="s">
        <v>296</v>
      </c>
      <c r="D12" s="25"/>
      <c r="E12" s="25"/>
      <c r="F12" s="25"/>
      <c r="G12" s="27"/>
      <c r="H12" s="27"/>
      <c r="I12" s="25"/>
    </row>
    <row r="13" spans="1:9">
      <c r="A13" s="25" t="s">
        <v>98</v>
      </c>
      <c r="B13" s="25"/>
      <c r="C13" s="25"/>
      <c r="D13" s="25"/>
      <c r="E13" s="25"/>
      <c r="F13" s="25"/>
      <c r="G13" s="27"/>
      <c r="H13" s="27"/>
      <c r="I13" s="25"/>
    </row>
    <row r="14" spans="1:9">
      <c r="A14" s="25" t="s">
        <v>297</v>
      </c>
      <c r="B14" s="25"/>
      <c r="C14" s="25"/>
      <c r="D14" s="25"/>
      <c r="E14" s="25"/>
      <c r="F14" s="25"/>
      <c r="G14" s="28"/>
      <c r="H14" s="25"/>
      <c r="I14" s="75"/>
    </row>
    <row r="15" spans="1:9">
      <c r="A15" s="25"/>
      <c r="B15" s="25"/>
      <c r="C15" s="25"/>
      <c r="D15" s="25"/>
      <c r="E15" s="25"/>
      <c r="F15" s="25"/>
      <c r="G15" s="25"/>
      <c r="H15" s="25"/>
      <c r="I15" s="31"/>
    </row>
    <row r="16" spans="1:9">
      <c r="A16" s="63" t="s">
        <v>298</v>
      </c>
      <c r="B16" s="63"/>
      <c r="C16" s="63"/>
      <c r="D16" s="63"/>
      <c r="E16" s="25"/>
      <c r="F16" s="25"/>
      <c r="G16" s="25"/>
      <c r="H16" s="25"/>
      <c r="I16" s="25"/>
    </row>
    <row r="17" spans="1:9">
      <c r="A17" s="63" t="s">
        <v>299</v>
      </c>
      <c r="B17" s="63"/>
      <c r="C17" s="63"/>
      <c r="D17" s="63"/>
      <c r="E17" s="25"/>
      <c r="F17" s="25"/>
      <c r="G17" s="25"/>
      <c r="H17" s="25"/>
      <c r="I17" s="25"/>
    </row>
    <row r="18" spans="1:9">
      <c r="A18" s="25" t="s">
        <v>300</v>
      </c>
      <c r="B18" s="25"/>
      <c r="C18" s="25"/>
      <c r="D18" s="25"/>
      <c r="E18" s="25"/>
      <c r="F18" s="25"/>
      <c r="G18" s="25"/>
      <c r="H18" s="25"/>
      <c r="I18" s="27"/>
    </row>
    <row r="19" spans="1:9">
      <c r="A19" s="25"/>
      <c r="B19" s="25"/>
      <c r="C19" s="25"/>
      <c r="D19" s="25"/>
      <c r="E19" s="25"/>
      <c r="F19" s="25"/>
      <c r="G19" s="25"/>
      <c r="H19" s="25"/>
      <c r="I19" s="25"/>
    </row>
    <row r="20" spans="1:9">
      <c r="A20" s="63" t="s">
        <v>301</v>
      </c>
      <c r="B20" s="63"/>
      <c r="C20" s="63"/>
      <c r="D20" s="63"/>
      <c r="E20" s="25"/>
      <c r="F20" s="25"/>
      <c r="G20" s="25"/>
      <c r="H20" s="25"/>
      <c r="I20" s="25"/>
    </row>
    <row r="21" spans="1:9">
      <c r="A21" s="27" t="s">
        <v>174</v>
      </c>
      <c r="B21" s="27"/>
      <c r="C21" s="27"/>
      <c r="D21" s="27"/>
      <c r="E21" s="25"/>
      <c r="F21" s="25"/>
      <c r="G21" s="27"/>
      <c r="H21" s="27"/>
      <c r="I21" s="27"/>
    </row>
    <row r="22" spans="1:9">
      <c r="A22" s="27" t="s">
        <v>175</v>
      </c>
      <c r="B22" s="27"/>
      <c r="C22" s="27"/>
      <c r="D22" s="27"/>
      <c r="E22" s="75"/>
      <c r="F22" s="31"/>
      <c r="I22" s="27"/>
    </row>
    <row r="23" spans="1:9">
      <c r="B23" s="27" t="s">
        <v>302</v>
      </c>
      <c r="C23" s="27"/>
      <c r="D23" s="27"/>
      <c r="E23" s="27"/>
      <c r="F23" s="27"/>
      <c r="I23" s="27"/>
    </row>
    <row r="24" spans="1:9">
      <c r="A24" s="27" t="s">
        <v>303</v>
      </c>
      <c r="B24" s="27"/>
      <c r="C24" s="27"/>
      <c r="D24" s="27"/>
      <c r="E24" s="29"/>
      <c r="F24" s="27"/>
      <c r="I24" s="27"/>
    </row>
    <row r="25" spans="1:9">
      <c r="B25" s="27" t="s">
        <v>302</v>
      </c>
      <c r="C25" s="27"/>
      <c r="D25" s="27"/>
      <c r="E25" s="27"/>
      <c r="F25" s="27"/>
      <c r="I25" s="27"/>
    </row>
    <row r="26" spans="1:9">
      <c r="A26" s="27" t="s">
        <v>304</v>
      </c>
      <c r="B26" s="27"/>
      <c r="C26" s="27"/>
      <c r="D26" s="27"/>
      <c r="E26" s="29"/>
      <c r="F26" s="27"/>
      <c r="I26" s="27"/>
    </row>
    <row r="27" spans="1:9">
      <c r="B27" s="27" t="s">
        <v>302</v>
      </c>
      <c r="C27" s="27"/>
      <c r="D27" s="27"/>
      <c r="E27" s="27"/>
      <c r="F27" s="27"/>
      <c r="I27" s="27"/>
    </row>
    <row r="28" spans="1:9">
      <c r="A28" s="25" t="s">
        <v>305</v>
      </c>
      <c r="B28" s="25"/>
      <c r="C28" s="25"/>
      <c r="D28" s="25"/>
      <c r="E28" s="28"/>
      <c r="F28" s="25"/>
      <c r="G28" s="29"/>
      <c r="H28" s="27"/>
      <c r="I28" s="27"/>
    </row>
    <row r="29" spans="1:9">
      <c r="A29" s="25" t="s">
        <v>306</v>
      </c>
      <c r="B29" s="25"/>
      <c r="C29" s="25"/>
      <c r="D29" s="25"/>
      <c r="E29" s="25"/>
      <c r="F29" s="25"/>
      <c r="G29" s="27"/>
      <c r="H29" s="27"/>
      <c r="I29" s="29"/>
    </row>
    <row r="30" spans="1:9">
      <c r="A30" s="25" t="s">
        <v>100</v>
      </c>
      <c r="B30" s="25"/>
      <c r="C30" s="25"/>
      <c r="D30" s="25"/>
      <c r="E30" s="25"/>
      <c r="F30" s="25"/>
      <c r="G30" s="25"/>
      <c r="H30" s="25"/>
      <c r="I30" s="68"/>
    </row>
    <row r="31" spans="1:9">
      <c r="A31" s="25"/>
      <c r="B31" s="25"/>
      <c r="C31" s="25"/>
      <c r="D31" s="25"/>
      <c r="E31" s="25"/>
      <c r="F31" s="25"/>
      <c r="G31" s="25"/>
      <c r="H31" s="25"/>
      <c r="I31" s="25"/>
    </row>
    <row r="32" spans="1:9">
      <c r="A32" s="153" t="s">
        <v>307</v>
      </c>
      <c r="B32" s="153"/>
      <c r="C32" s="153"/>
      <c r="D32" s="153"/>
      <c r="E32" s="153"/>
      <c r="F32" s="153"/>
      <c r="G32" s="153"/>
      <c r="H32" s="153"/>
      <c r="I32" s="153"/>
    </row>
    <row r="33" spans="1:9">
      <c r="A33" s="63" t="s">
        <v>308</v>
      </c>
      <c r="B33" s="63"/>
      <c r="C33" s="63"/>
      <c r="D33" s="63"/>
      <c r="E33" s="25"/>
      <c r="F33" s="25"/>
      <c r="G33" s="25"/>
      <c r="H33" s="25"/>
      <c r="I33" s="25"/>
    </row>
    <row r="34" spans="1:9">
      <c r="A34" s="25" t="s">
        <v>103</v>
      </c>
      <c r="B34" s="25"/>
      <c r="C34" s="25"/>
      <c r="D34" s="25"/>
      <c r="E34" s="25"/>
      <c r="F34" s="25"/>
      <c r="G34" s="31"/>
      <c r="H34" s="31"/>
      <c r="I34" s="25"/>
    </row>
    <row r="35" spans="1:9">
      <c r="A35" s="25" t="s">
        <v>309</v>
      </c>
      <c r="B35" s="25"/>
      <c r="C35" s="25"/>
      <c r="D35" s="25"/>
      <c r="E35" s="25"/>
      <c r="F35" s="25"/>
      <c r="G35" s="27"/>
      <c r="H35" s="27"/>
      <c r="I35" s="27"/>
    </row>
    <row r="36" spans="1:9">
      <c r="A36" s="25" t="s">
        <v>28</v>
      </c>
      <c r="B36" s="25"/>
      <c r="C36" s="25"/>
      <c r="D36" s="25"/>
      <c r="E36" s="25"/>
      <c r="F36" s="25"/>
      <c r="G36" s="27"/>
      <c r="H36" s="27"/>
      <c r="I36" s="27"/>
    </row>
    <row r="37" spans="1:9">
      <c r="A37" s="25" t="s">
        <v>104</v>
      </c>
      <c r="B37" s="25"/>
      <c r="C37" s="25"/>
      <c r="D37" s="25"/>
      <c r="E37" s="25"/>
      <c r="F37" s="25"/>
      <c r="G37" s="27"/>
      <c r="H37" s="27"/>
      <c r="I37" s="27"/>
    </row>
    <row r="38" spans="1:9">
      <c r="A38" s="25" t="s">
        <v>310</v>
      </c>
      <c r="B38" s="25"/>
      <c r="C38" s="25"/>
      <c r="D38" s="25"/>
      <c r="E38" s="25"/>
      <c r="F38" s="25"/>
      <c r="G38" s="27"/>
      <c r="H38" s="27"/>
      <c r="I38" s="27"/>
    </row>
    <row r="39" spans="1:9">
      <c r="A39" s="25" t="s">
        <v>311</v>
      </c>
      <c r="B39" s="25"/>
      <c r="C39" s="25"/>
      <c r="D39" s="25"/>
      <c r="E39" s="25"/>
      <c r="F39" s="25"/>
      <c r="G39" s="29"/>
      <c r="H39" s="27"/>
      <c r="I39" s="31"/>
    </row>
    <row r="40" spans="1:9">
      <c r="A40" s="25"/>
      <c r="B40" s="25"/>
      <c r="C40" s="25"/>
      <c r="D40" s="25"/>
      <c r="E40" s="25"/>
      <c r="F40" s="25"/>
      <c r="G40" s="27"/>
      <c r="H40" s="27"/>
      <c r="I40" s="27"/>
    </row>
    <row r="41" spans="1:9">
      <c r="A41" s="63" t="s">
        <v>312</v>
      </c>
      <c r="B41" s="25"/>
      <c r="C41" s="25"/>
      <c r="D41" s="25"/>
      <c r="E41" s="25"/>
      <c r="F41" s="25"/>
      <c r="G41" s="27"/>
      <c r="H41" s="27"/>
      <c r="I41" s="27"/>
    </row>
    <row r="42" spans="1:9">
      <c r="A42" s="25" t="s">
        <v>313</v>
      </c>
      <c r="B42" s="25"/>
      <c r="C42" s="25"/>
      <c r="D42" s="25"/>
      <c r="E42" s="25"/>
      <c r="F42" s="25"/>
      <c r="G42" s="27"/>
      <c r="H42" s="27"/>
    </row>
    <row r="43" spans="1:9">
      <c r="A43" s="27" t="s">
        <v>310</v>
      </c>
      <c r="B43" s="27"/>
      <c r="C43" s="27"/>
      <c r="D43" s="27"/>
      <c r="E43" s="25"/>
      <c r="F43" s="25"/>
      <c r="G43" s="27"/>
      <c r="H43" s="27"/>
      <c r="I43" s="25"/>
    </row>
    <row r="44" spans="1:9">
      <c r="A44" s="27" t="s">
        <v>314</v>
      </c>
      <c r="B44" s="27"/>
      <c r="C44" s="27"/>
      <c r="D44" s="27"/>
      <c r="E44" s="25"/>
      <c r="F44" s="25"/>
      <c r="G44" s="27"/>
      <c r="H44" s="27"/>
      <c r="I44" s="25"/>
    </row>
    <row r="45" spans="1:9">
      <c r="A45" s="25" t="s">
        <v>315</v>
      </c>
      <c r="B45" s="25"/>
      <c r="C45" s="25"/>
      <c r="D45" s="25"/>
      <c r="E45" s="25"/>
      <c r="F45" s="25"/>
      <c r="G45" s="29"/>
      <c r="H45" s="27"/>
      <c r="I45" s="27"/>
    </row>
    <row r="46" spans="1:9">
      <c r="A46" s="27" t="s">
        <v>316</v>
      </c>
      <c r="B46" s="27"/>
      <c r="C46" s="27"/>
      <c r="D46" s="27"/>
      <c r="E46" s="25"/>
      <c r="F46" s="25"/>
      <c r="G46" s="27"/>
      <c r="H46" s="27"/>
      <c r="I46" s="36"/>
    </row>
    <row r="47" spans="1:9">
      <c r="A47" s="27"/>
      <c r="B47" s="27"/>
      <c r="C47" s="27"/>
      <c r="D47" s="27"/>
      <c r="E47" s="25"/>
      <c r="F47" s="25"/>
      <c r="G47" s="27"/>
      <c r="H47" s="27"/>
      <c r="I47" s="27"/>
    </row>
    <row r="48" spans="1:9">
      <c r="A48" s="155" t="s">
        <v>317</v>
      </c>
      <c r="B48" s="155"/>
      <c r="C48" s="155"/>
      <c r="D48" s="155"/>
      <c r="E48" s="155"/>
      <c r="F48" s="155"/>
      <c r="G48" s="155"/>
      <c r="H48" s="155"/>
      <c r="I48" s="155"/>
    </row>
    <row r="49" spans="1:9">
      <c r="A49" s="27" t="s">
        <v>318</v>
      </c>
      <c r="B49" s="27"/>
      <c r="C49" s="27"/>
      <c r="D49" s="27"/>
      <c r="E49" s="25"/>
      <c r="F49" s="25"/>
      <c r="G49" s="27">
        <f>+I28-G38-G43</f>
        <v>0</v>
      </c>
      <c r="H49" s="27"/>
      <c r="I49" s="27"/>
    </row>
    <row r="50" spans="1:9">
      <c r="A50" s="25"/>
      <c r="B50" s="25"/>
      <c r="C50" s="25"/>
      <c r="D50" s="25"/>
      <c r="E50" s="25"/>
      <c r="F50" s="25"/>
      <c r="G50" s="27">
        <f>+I30-I46-G49</f>
        <v>0</v>
      </c>
      <c r="H50" s="27"/>
      <c r="I50" s="27"/>
    </row>
    <row r="51" spans="1:9" ht="14" thickBot="1">
      <c r="A51" s="25" t="s">
        <v>319</v>
      </c>
      <c r="B51" s="25"/>
      <c r="C51" s="25"/>
      <c r="D51" s="25"/>
      <c r="E51" s="25"/>
      <c r="F51" s="25"/>
      <c r="G51" s="29"/>
      <c r="H51" s="27"/>
      <c r="I51" s="103">
        <f>SUM(G49:G50)</f>
        <v>0</v>
      </c>
    </row>
    <row r="52" spans="1:9" ht="14" thickTop="1">
      <c r="A52" s="25"/>
      <c r="B52" s="25"/>
      <c r="C52" s="25"/>
      <c r="D52" s="25"/>
      <c r="E52" s="25"/>
      <c r="F52" s="25"/>
      <c r="G52" s="27"/>
      <c r="H52" s="27"/>
      <c r="I52" s="31"/>
    </row>
    <row r="53" spans="1:9" ht="16">
      <c r="A53" s="25"/>
      <c r="B53" s="25"/>
      <c r="C53" s="25"/>
      <c r="D53" s="25"/>
      <c r="E53" s="25"/>
      <c r="F53" s="25"/>
      <c r="G53" s="27"/>
      <c r="H53" s="27"/>
      <c r="I53" s="65"/>
    </row>
    <row r="54" spans="1:9">
      <c r="A54" s="25"/>
      <c r="B54" s="25"/>
      <c r="C54" s="25"/>
      <c r="D54" s="25"/>
      <c r="E54" s="25"/>
      <c r="F54" s="25"/>
      <c r="G54" s="25"/>
      <c r="H54" s="25"/>
      <c r="I54" s="25"/>
    </row>
  </sheetData>
  <mergeCells count="7">
    <mergeCell ref="A48:I48"/>
    <mergeCell ref="A1:I1"/>
    <mergeCell ref="A2:I2"/>
    <mergeCell ref="A3:I3"/>
    <mergeCell ref="A4:I4"/>
    <mergeCell ref="A6:I6"/>
    <mergeCell ref="A32:I32"/>
  </mergeCells>
  <printOptions horizontalCentered="1"/>
  <pageMargins left="0.7" right="0.7" top="0.25" bottom="0.25" header="0.3" footer="0.3"/>
  <pageSetup orientation="portrait"/>
  <extLst>
    <ext xmlns:mx="http://schemas.microsoft.com/office/mac/excel/2008/main" uri="{64002731-A6B0-56B0-2670-7721B7C09600}">
      <mx:PLV Mode="0" OnePage="0" WScale="0"/>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F25"/>
  <sheetViews>
    <sheetView workbookViewId="0">
      <selection activeCell="A25" sqref="A25"/>
    </sheetView>
  </sheetViews>
  <sheetFormatPr baseColWidth="10" defaultColWidth="8.5703125" defaultRowHeight="13" x14ac:dyDescent="0"/>
  <cols>
    <col min="1" max="1" width="25.5703125" style="24" customWidth="1"/>
    <col min="2" max="2" width="10.5703125" style="24" customWidth="1"/>
    <col min="3" max="3" width="0.85546875" style="24" customWidth="1"/>
    <col min="4" max="4" width="10.5703125" style="24" customWidth="1"/>
    <col min="5" max="5" width="0.85546875" style="24" customWidth="1"/>
    <col min="6" max="6" width="12.5703125" style="24" customWidth="1"/>
    <col min="7" max="16384" width="8.5703125" style="24"/>
  </cols>
  <sheetData>
    <row r="1" spans="1:6">
      <c r="A1" s="153" t="s">
        <v>320</v>
      </c>
      <c r="B1" s="153"/>
      <c r="C1" s="153"/>
      <c r="D1" s="153"/>
      <c r="E1" s="153"/>
      <c r="F1" s="153"/>
    </row>
    <row r="2" spans="1:6">
      <c r="A2" s="153" t="s">
        <v>248</v>
      </c>
      <c r="B2" s="153"/>
      <c r="C2" s="153"/>
      <c r="D2" s="153"/>
      <c r="E2" s="153"/>
      <c r="F2" s="153"/>
    </row>
    <row r="3" spans="1:6">
      <c r="A3" s="153" t="s">
        <v>321</v>
      </c>
      <c r="B3" s="153"/>
      <c r="C3" s="153"/>
      <c r="D3" s="153"/>
      <c r="E3" s="153"/>
      <c r="F3" s="153"/>
    </row>
    <row r="4" spans="1:6">
      <c r="A4" s="153" t="s">
        <v>322</v>
      </c>
      <c r="B4" s="153"/>
      <c r="C4" s="153"/>
      <c r="D4" s="153"/>
      <c r="E4" s="153"/>
      <c r="F4" s="153"/>
    </row>
    <row r="5" spans="1:6">
      <c r="A5" s="156"/>
      <c r="B5" s="156"/>
      <c r="C5" s="156"/>
      <c r="D5" s="156"/>
      <c r="E5" s="156"/>
      <c r="F5" s="156"/>
    </row>
    <row r="6" spans="1:6">
      <c r="A6" s="146"/>
      <c r="B6" s="146"/>
      <c r="C6" s="146"/>
      <c r="D6" s="146"/>
      <c r="E6" s="146"/>
      <c r="F6" s="143" t="s">
        <v>323</v>
      </c>
    </row>
    <row r="7" spans="1:6">
      <c r="A7" s="63"/>
      <c r="B7" s="143"/>
      <c r="C7" s="143"/>
      <c r="D7" s="143"/>
      <c r="E7" s="143"/>
      <c r="F7" s="143" t="s">
        <v>324</v>
      </c>
    </row>
    <row r="8" spans="1:6">
      <c r="A8" s="63" t="s">
        <v>325</v>
      </c>
      <c r="B8" s="143" t="s">
        <v>326</v>
      </c>
      <c r="C8" s="143"/>
      <c r="D8" s="143" t="s">
        <v>327</v>
      </c>
      <c r="E8" s="143"/>
      <c r="F8" s="143" t="s">
        <v>328</v>
      </c>
    </row>
    <row r="9" spans="1:6">
      <c r="A9" s="25" t="s">
        <v>14</v>
      </c>
      <c r="B9" s="31">
        <f>+'W&amp;S SNP'!G8</f>
        <v>0</v>
      </c>
      <c r="C9" s="31"/>
      <c r="D9" s="31">
        <f>+'W&amp;S SNP'!I18</f>
        <v>0</v>
      </c>
      <c r="E9" s="31"/>
      <c r="F9" s="31">
        <v>0</v>
      </c>
    </row>
    <row r="10" spans="1:6">
      <c r="A10" s="25" t="s">
        <v>16</v>
      </c>
      <c r="B10" s="27">
        <f>+'W&amp;S SNP'!G10</f>
        <v>0</v>
      </c>
      <c r="C10" s="27"/>
      <c r="D10" s="27">
        <v>0</v>
      </c>
      <c r="E10" s="27"/>
      <c r="F10" s="27">
        <v>0</v>
      </c>
    </row>
    <row r="11" spans="1:6">
      <c r="A11" s="25" t="s">
        <v>294</v>
      </c>
      <c r="B11" s="27">
        <f>+'W&amp;S SNP'!G9</f>
        <v>0</v>
      </c>
      <c r="C11" s="27"/>
      <c r="D11" s="27">
        <v>0</v>
      </c>
      <c r="E11" s="27"/>
      <c r="F11" s="27">
        <v>0</v>
      </c>
    </row>
    <row r="12" spans="1:6">
      <c r="A12" s="25" t="s">
        <v>329</v>
      </c>
      <c r="B12" s="27">
        <f>+'W&amp;S SNP'!G12</f>
        <v>0</v>
      </c>
      <c r="C12" s="27"/>
      <c r="D12" s="27">
        <v>0</v>
      </c>
      <c r="E12" s="27"/>
      <c r="F12" s="27">
        <v>0</v>
      </c>
    </row>
    <row r="13" spans="1:6">
      <c r="A13" s="25" t="s">
        <v>280</v>
      </c>
      <c r="B13" s="27">
        <f>+'W&amp;S SNP'!G13</f>
        <v>0</v>
      </c>
      <c r="C13" s="27"/>
      <c r="D13" s="27">
        <v>0</v>
      </c>
      <c r="E13" s="27"/>
      <c r="F13" s="27">
        <v>0</v>
      </c>
    </row>
    <row r="14" spans="1:6">
      <c r="A14" s="25" t="s">
        <v>330</v>
      </c>
      <c r="B14" s="27">
        <v>0</v>
      </c>
      <c r="C14" s="27"/>
      <c r="D14" s="27">
        <v>0</v>
      </c>
      <c r="E14" s="27"/>
      <c r="F14" s="27">
        <f>+'W&amp;S SNP'!I28</f>
        <v>0</v>
      </c>
    </row>
    <row r="15" spans="1:6">
      <c r="A15" s="25" t="s">
        <v>25</v>
      </c>
      <c r="B15" s="27">
        <f>-'W&amp;S SNP'!G34</f>
        <v>0</v>
      </c>
      <c r="C15" s="27"/>
      <c r="D15" s="27">
        <v>0</v>
      </c>
      <c r="E15" s="27"/>
      <c r="F15" s="27">
        <v>0</v>
      </c>
    </row>
    <row r="16" spans="1:6">
      <c r="A16" s="25" t="s">
        <v>254</v>
      </c>
      <c r="B16" s="27">
        <f>-'W&amp;S SNP'!G35</f>
        <v>0</v>
      </c>
      <c r="C16" s="27"/>
      <c r="D16" s="27">
        <v>0</v>
      </c>
      <c r="E16" s="27"/>
      <c r="F16" s="27">
        <v>0</v>
      </c>
    </row>
    <row r="17" spans="1:6">
      <c r="A17" s="25" t="s">
        <v>28</v>
      </c>
      <c r="B17" s="27">
        <f>-'W&amp;S SNP'!G36</f>
        <v>0</v>
      </c>
      <c r="C17" s="27"/>
      <c r="D17" s="27">
        <v>0</v>
      </c>
      <c r="E17" s="27"/>
      <c r="F17" s="27">
        <v>0</v>
      </c>
    </row>
    <row r="18" spans="1:6">
      <c r="A18" s="25" t="s">
        <v>26</v>
      </c>
      <c r="B18" s="27">
        <f>-'W&amp;S SNP'!G37</f>
        <v>0</v>
      </c>
      <c r="C18" s="27"/>
      <c r="D18" s="27">
        <v>0</v>
      </c>
      <c r="E18" s="27"/>
      <c r="F18" s="27">
        <v>0</v>
      </c>
    </row>
    <row r="19" spans="1:6">
      <c r="A19" s="25" t="s">
        <v>255</v>
      </c>
      <c r="B19" s="27">
        <v>0</v>
      </c>
      <c r="C19" s="27"/>
      <c r="D19" s="27">
        <f>-'W&amp;S SNP'!G42</f>
        <v>0</v>
      </c>
      <c r="E19" s="27"/>
      <c r="F19" s="27">
        <v>0</v>
      </c>
    </row>
    <row r="20" spans="1:6">
      <c r="A20" s="27" t="s">
        <v>182</v>
      </c>
      <c r="B20" s="27">
        <v>0</v>
      </c>
      <c r="C20" s="27"/>
      <c r="D20" s="27">
        <v>0</v>
      </c>
      <c r="E20" s="27"/>
      <c r="F20" s="27">
        <f>-'W&amp;S SNP'!G38-'W&amp;S SNP'!G43</f>
        <v>0</v>
      </c>
    </row>
    <row r="21" spans="1:6">
      <c r="A21" s="27" t="s">
        <v>244</v>
      </c>
      <c r="B21" s="27">
        <f>-'W&amp;S SNP'!G44</f>
        <v>0</v>
      </c>
      <c r="C21" s="27"/>
      <c r="D21" s="27">
        <v>0</v>
      </c>
      <c r="E21" s="27"/>
      <c r="F21" s="27">
        <v>0</v>
      </c>
    </row>
    <row r="22" spans="1:6" ht="14" thickBot="1">
      <c r="A22" s="25" t="s">
        <v>331</v>
      </c>
      <c r="B22" s="35">
        <f>SUM(B9:B21)</f>
        <v>0</v>
      </c>
      <c r="C22" s="31"/>
      <c r="D22" s="35">
        <f>SUM(D9:D21)</f>
        <v>0</v>
      </c>
      <c r="E22" s="31"/>
      <c r="F22" s="35">
        <f>SUM(F9:F21)</f>
        <v>0</v>
      </c>
    </row>
    <row r="23" spans="1:6" ht="14" thickTop="1">
      <c r="A23" s="25"/>
      <c r="B23" s="25"/>
      <c r="C23" s="25"/>
      <c r="D23" s="25"/>
      <c r="E23" s="25"/>
      <c r="F23" s="25"/>
    </row>
    <row r="25" spans="1:6">
      <c r="A25" s="24" t="s">
        <v>332</v>
      </c>
    </row>
  </sheetData>
  <mergeCells count="5">
    <mergeCell ref="A1:F1"/>
    <mergeCell ref="A2:F2"/>
    <mergeCell ref="A3:F3"/>
    <mergeCell ref="A4:F4"/>
    <mergeCell ref="A5:F5"/>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F51"/>
  <sheetViews>
    <sheetView workbookViewId="0">
      <selection activeCell="H39" sqref="H39"/>
    </sheetView>
  </sheetViews>
  <sheetFormatPr baseColWidth="10" defaultColWidth="8.5703125" defaultRowHeight="13" x14ac:dyDescent="0"/>
  <cols>
    <col min="1" max="2" width="2.5703125" style="24" customWidth="1"/>
    <col min="3" max="3" width="40.5703125" style="24" customWidth="1"/>
    <col min="4" max="4" width="10.5703125" style="24" customWidth="1"/>
    <col min="5" max="5" width="0.85546875" style="24" customWidth="1"/>
    <col min="6" max="6" width="10.5703125" style="24" customWidth="1"/>
    <col min="7" max="16384" width="8.5703125" style="24"/>
  </cols>
  <sheetData>
    <row r="1" spans="1:6">
      <c r="A1" s="153" t="s">
        <v>333</v>
      </c>
      <c r="B1" s="153"/>
      <c r="C1" s="153"/>
      <c r="D1" s="153"/>
      <c r="E1" s="153"/>
      <c r="F1" s="153"/>
    </row>
    <row r="2" spans="1:6">
      <c r="A2" s="153" t="s">
        <v>272</v>
      </c>
      <c r="B2" s="153"/>
      <c r="C2" s="153"/>
      <c r="D2" s="153"/>
      <c r="E2" s="153"/>
      <c r="F2" s="153"/>
    </row>
    <row r="3" spans="1:6">
      <c r="A3" s="153" t="s">
        <v>334</v>
      </c>
      <c r="B3" s="153"/>
      <c r="C3" s="153"/>
      <c r="D3" s="153"/>
      <c r="E3" s="153"/>
      <c r="F3" s="153"/>
    </row>
    <row r="4" spans="1:6">
      <c r="A4" s="153" t="s">
        <v>59</v>
      </c>
      <c r="B4" s="153"/>
      <c r="C4" s="153"/>
      <c r="D4" s="153"/>
      <c r="E4" s="153"/>
      <c r="F4" s="153"/>
    </row>
    <row r="5" spans="1:6">
      <c r="A5" s="25"/>
      <c r="B5" s="25"/>
      <c r="C5" s="25"/>
      <c r="D5" s="25"/>
      <c r="E5" s="25"/>
      <c r="F5" s="25"/>
    </row>
    <row r="6" spans="1:6">
      <c r="A6" s="63" t="s">
        <v>335</v>
      </c>
      <c r="B6" s="63"/>
      <c r="C6" s="63"/>
      <c r="D6" s="63"/>
      <c r="E6" s="63"/>
      <c r="F6" s="25"/>
    </row>
    <row r="7" spans="1:6">
      <c r="B7" s="25" t="s">
        <v>336</v>
      </c>
      <c r="C7" s="25"/>
      <c r="D7" s="25"/>
      <c r="E7" s="25"/>
      <c r="F7" s="26">
        <f>+'W&amp;S OS'!E8+('W&amp;S EF'!C17-'W&amp;S EF'!E20)-('W&amp;S EF'!V17-'W&amp;S EF'!X20)+'W&amp;S EF'!C86-'W&amp;S EF'!V86+'W&amp;S EF'!V24-'W&amp;S EF'!C24</f>
        <v>-22325</v>
      </c>
    </row>
    <row r="8" spans="1:6">
      <c r="B8" s="25" t="s">
        <v>337</v>
      </c>
      <c r="C8" s="25"/>
      <c r="D8" s="25"/>
      <c r="E8" s="25"/>
      <c r="F8" s="27">
        <f>-'W&amp;S OS'!C11-'W&amp;S OS'!C12+('W&amp;S EF'!X84-'W&amp;S EF'!E84)</f>
        <v>0</v>
      </c>
    </row>
    <row r="9" spans="1:6">
      <c r="B9" s="25" t="s">
        <v>338</v>
      </c>
      <c r="C9" s="25"/>
      <c r="D9" s="25"/>
      <c r="E9" s="25"/>
      <c r="F9" s="27">
        <f>-'W&amp;S OS'!C13-'W&amp;S OS'!C15+'W&amp;S SCF'!D39+'W&amp;S SCF'!D40+'W&amp;S SCF'!D42</f>
        <v>9700</v>
      </c>
    </row>
    <row r="10" spans="1:6">
      <c r="B10" s="71"/>
      <c r="C10" s="71" t="s">
        <v>339</v>
      </c>
      <c r="D10" s="71"/>
      <c r="E10" s="71"/>
      <c r="F10" s="36">
        <f>SUM(F7:F9)</f>
        <v>-12625</v>
      </c>
    </row>
    <row r="11" spans="1:6">
      <c r="A11" s="25"/>
      <c r="B11" s="25"/>
      <c r="C11" s="25"/>
      <c r="D11" s="25"/>
      <c r="E11" s="25"/>
      <c r="F11" s="27"/>
    </row>
    <row r="12" spans="1:6">
      <c r="A12" s="63" t="s">
        <v>340</v>
      </c>
      <c r="B12" s="63"/>
      <c r="C12" s="63"/>
      <c r="D12" s="63"/>
      <c r="E12" s="63"/>
      <c r="F12" s="27"/>
    </row>
    <row r="13" spans="1:6">
      <c r="B13" s="25" t="s">
        <v>341</v>
      </c>
      <c r="C13" s="25"/>
      <c r="D13" s="25"/>
      <c r="E13" s="25"/>
      <c r="F13" s="72">
        <f>'W&amp;S OS'!E25</f>
        <v>0</v>
      </c>
    </row>
    <row r="14" spans="1:6">
      <c r="A14" s="25"/>
      <c r="B14" s="25"/>
      <c r="C14" s="25"/>
      <c r="D14" s="25"/>
      <c r="E14" s="25"/>
      <c r="F14" s="27"/>
    </row>
    <row r="15" spans="1:6">
      <c r="A15" s="63" t="s">
        <v>342</v>
      </c>
      <c r="B15" s="63"/>
      <c r="C15" s="63"/>
      <c r="D15" s="63"/>
      <c r="E15" s="63"/>
      <c r="F15" s="27"/>
    </row>
    <row r="16" spans="1:6">
      <c r="B16" s="25" t="s">
        <v>343</v>
      </c>
      <c r="C16" s="25"/>
      <c r="D16" s="25"/>
      <c r="E16" s="25"/>
      <c r="F16" s="27">
        <f>-'W&amp;S EF'!H46</f>
        <v>-80000</v>
      </c>
    </row>
    <row r="17" spans="1:6">
      <c r="B17" s="25" t="s">
        <v>344</v>
      </c>
      <c r="C17" s="25"/>
      <c r="D17" s="25"/>
      <c r="E17" s="25"/>
      <c r="F17" s="27">
        <v>-40000</v>
      </c>
    </row>
    <row r="18" spans="1:6">
      <c r="B18" s="71"/>
      <c r="C18" s="71" t="s">
        <v>345</v>
      </c>
      <c r="D18" s="71"/>
      <c r="E18" s="71"/>
      <c r="F18" s="36">
        <f>SUM(F16:F17)</f>
        <v>-120000</v>
      </c>
    </row>
    <row r="19" spans="1:6">
      <c r="A19" s="25"/>
      <c r="B19" s="25"/>
      <c r="C19" s="25"/>
      <c r="D19" s="25"/>
      <c r="E19" s="25"/>
      <c r="F19" s="27"/>
    </row>
    <row r="20" spans="1:6">
      <c r="A20" s="63" t="s">
        <v>346</v>
      </c>
      <c r="B20" s="63"/>
      <c r="C20" s="63"/>
      <c r="D20" s="63"/>
      <c r="E20" s="63"/>
      <c r="F20" s="27"/>
    </row>
    <row r="21" spans="1:6">
      <c r="B21" s="25" t="s">
        <v>347</v>
      </c>
      <c r="C21" s="25"/>
      <c r="D21" s="25"/>
      <c r="E21" s="25"/>
      <c r="F21" s="27">
        <f>-'W&amp;S EF'!V63</f>
        <v>-120000</v>
      </c>
    </row>
    <row r="22" spans="1:6">
      <c r="B22" s="25" t="s">
        <v>348</v>
      </c>
      <c r="C22" s="25"/>
      <c r="D22" s="25"/>
      <c r="E22" s="25"/>
      <c r="F22" s="27">
        <f>+'W&amp;S OS'!C20</f>
        <v>0</v>
      </c>
    </row>
    <row r="23" spans="1:6">
      <c r="B23" s="71"/>
      <c r="C23" s="71" t="s">
        <v>349</v>
      </c>
      <c r="D23" s="71"/>
      <c r="E23" s="71"/>
      <c r="F23" s="36">
        <f>SUM(F21:F22)</f>
        <v>-120000</v>
      </c>
    </row>
    <row r="24" spans="1:6">
      <c r="A24" s="25"/>
      <c r="B24" s="25"/>
      <c r="C24" s="25"/>
      <c r="D24" s="25"/>
      <c r="E24" s="25"/>
      <c r="F24" s="27"/>
    </row>
    <row r="25" spans="1:6">
      <c r="A25" s="25" t="s">
        <v>350</v>
      </c>
      <c r="B25" s="25"/>
      <c r="C25" s="25"/>
      <c r="D25" s="25"/>
      <c r="E25" s="25"/>
      <c r="F25" s="27">
        <f>+F10+F13+F18+F23</f>
        <v>-252625</v>
      </c>
    </row>
    <row r="26" spans="1:6">
      <c r="A26" s="25"/>
      <c r="B26" s="25"/>
      <c r="C26" s="25"/>
      <c r="D26" s="25"/>
      <c r="E26" s="25"/>
      <c r="F26" s="27"/>
    </row>
    <row r="27" spans="1:6">
      <c r="A27" s="25" t="s">
        <v>351</v>
      </c>
      <c r="B27" s="25"/>
      <c r="C27" s="25"/>
      <c r="D27" s="25"/>
      <c r="E27" s="25"/>
      <c r="F27" s="27">
        <f>+'W&amp;S EF'!C9+'W&amp;S EF'!C24</f>
        <v>205000</v>
      </c>
    </row>
    <row r="28" spans="1:6" ht="14" thickBot="1">
      <c r="A28" s="25" t="s">
        <v>352</v>
      </c>
      <c r="B28" s="25"/>
      <c r="C28" s="25"/>
      <c r="D28" s="25"/>
      <c r="E28" s="25"/>
      <c r="F28" s="30">
        <f>+F25+F27</f>
        <v>-47625</v>
      </c>
    </row>
    <row r="29" spans="1:6" ht="14" thickTop="1">
      <c r="A29" s="25"/>
      <c r="B29" s="25"/>
      <c r="C29" s="25"/>
      <c r="D29" s="25"/>
      <c r="E29" s="25"/>
      <c r="F29" s="25"/>
    </row>
    <row r="30" spans="1:6">
      <c r="A30" s="63" t="s">
        <v>353</v>
      </c>
      <c r="B30" s="63"/>
      <c r="C30" s="63"/>
      <c r="D30" s="63"/>
      <c r="E30" s="63"/>
      <c r="F30" s="25"/>
    </row>
    <row r="31" spans="1:6">
      <c r="B31" s="63" t="s">
        <v>354</v>
      </c>
      <c r="C31" s="63"/>
      <c r="D31" s="63"/>
      <c r="E31" s="63"/>
      <c r="F31" s="25"/>
    </row>
    <row r="32" spans="1:6">
      <c r="A32" s="25" t="s">
        <v>355</v>
      </c>
      <c r="B32" s="25"/>
      <c r="C32" s="25"/>
      <c r="D32" s="25"/>
      <c r="E32" s="25"/>
      <c r="F32" s="75">
        <f>+'W&amp;S OS'!E17</f>
        <v>0</v>
      </c>
    </row>
    <row r="33" spans="1:6">
      <c r="A33" s="25" t="s">
        <v>356</v>
      </c>
      <c r="B33" s="25"/>
      <c r="C33" s="25"/>
      <c r="D33" s="25"/>
      <c r="E33" s="25"/>
      <c r="F33" s="25"/>
    </row>
    <row r="34" spans="1:6">
      <c r="B34" s="25" t="s">
        <v>357</v>
      </c>
      <c r="C34" s="25"/>
      <c r="D34" s="25"/>
      <c r="E34" s="25"/>
      <c r="F34" s="25"/>
    </row>
    <row r="35" spans="1:6">
      <c r="A35" s="25" t="s">
        <v>281</v>
      </c>
      <c r="B35" s="25"/>
      <c r="C35" s="25"/>
      <c r="D35" s="75">
        <f>+'W&amp;S OS'!C14</f>
        <v>0</v>
      </c>
      <c r="E35" s="25"/>
      <c r="F35" s="27"/>
    </row>
    <row r="36" spans="1:6">
      <c r="A36" s="25" t="s">
        <v>358</v>
      </c>
      <c r="B36" s="25"/>
      <c r="C36" s="25"/>
      <c r="D36" s="25"/>
      <c r="E36" s="25"/>
      <c r="F36" s="27"/>
    </row>
    <row r="37" spans="1:6">
      <c r="A37" s="25" t="s">
        <v>359</v>
      </c>
      <c r="B37" s="25"/>
      <c r="C37" s="25"/>
      <c r="D37" s="25">
        <f>+'W&amp;S EF'!C17-'W&amp;S EF'!E20-('W&amp;S EF'!V17-'W&amp;S EF'!X20)</f>
        <v>-4325</v>
      </c>
      <c r="E37" s="25"/>
      <c r="F37" s="27"/>
    </row>
    <row r="38" spans="1:6">
      <c r="A38" s="25" t="s">
        <v>360</v>
      </c>
      <c r="B38" s="25"/>
      <c r="C38" s="25"/>
      <c r="D38" s="25">
        <f>-'W&amp;S EF'!V86</f>
        <v>-22500</v>
      </c>
      <c r="E38" s="25"/>
      <c r="F38" s="27"/>
    </row>
    <row r="39" spans="1:6">
      <c r="A39" s="25" t="s">
        <v>361</v>
      </c>
      <c r="B39" s="25"/>
      <c r="C39" s="25"/>
      <c r="D39" s="25">
        <f>+'W&amp;S EF'!C22-'W&amp;S EF'!V22</f>
        <v>-1200</v>
      </c>
      <c r="E39" s="25"/>
      <c r="F39" s="27"/>
    </row>
    <row r="40" spans="1:6">
      <c r="A40" s="25" t="s">
        <v>362</v>
      </c>
      <c r="B40" s="25"/>
      <c r="C40" s="25"/>
      <c r="D40" s="25">
        <f>-'W&amp;S EF'!E40+'W&amp;S EF'!X40</f>
        <v>7900</v>
      </c>
      <c r="E40" s="25"/>
      <c r="F40" s="27"/>
    </row>
    <row r="41" spans="1:6">
      <c r="A41" s="25" t="s">
        <v>363</v>
      </c>
      <c r="B41" s="25"/>
      <c r="C41" s="25"/>
      <c r="D41" s="25">
        <f>+'W&amp;S EF'!X84-'W&amp;S EF'!E84</f>
        <v>0</v>
      </c>
      <c r="E41" s="25"/>
      <c r="F41" s="27"/>
    </row>
    <row r="42" spans="1:6">
      <c r="A42" s="25" t="s">
        <v>364</v>
      </c>
      <c r="B42" s="25"/>
      <c r="C42" s="25"/>
      <c r="D42" s="25">
        <f>+'W&amp;S EF'!X67-'W&amp;S EF'!E67</f>
        <v>3000</v>
      </c>
      <c r="E42" s="25"/>
      <c r="F42" s="27"/>
    </row>
    <row r="43" spans="1:6">
      <c r="A43" s="25" t="s">
        <v>365</v>
      </c>
      <c r="B43" s="25"/>
      <c r="C43" s="25"/>
      <c r="D43" s="25">
        <f>+'W&amp;S EF'!X44-'W&amp;S EF'!E44</f>
        <v>4500</v>
      </c>
      <c r="E43" s="25"/>
      <c r="F43" s="27">
        <f>SUM(D35:D43)</f>
        <v>-12625</v>
      </c>
    </row>
    <row r="44" spans="1:6">
      <c r="A44" s="25"/>
      <c r="B44" s="25"/>
      <c r="C44" s="25"/>
      <c r="D44" s="28"/>
      <c r="E44" s="25"/>
      <c r="F44" s="29"/>
    </row>
    <row r="45" spans="1:6" ht="14" thickBot="1">
      <c r="A45" s="71" t="s">
        <v>339</v>
      </c>
      <c r="B45" s="71"/>
      <c r="C45" s="71"/>
      <c r="D45" s="71"/>
      <c r="E45" s="71"/>
      <c r="F45" s="69">
        <f>+F43+F32</f>
        <v>-12625</v>
      </c>
    </row>
    <row r="46" spans="1:6" ht="14" thickTop="1"/>
    <row r="47" spans="1:6">
      <c r="A47" s="67" t="s">
        <v>366</v>
      </c>
      <c r="B47" s="67"/>
      <c r="C47" s="67"/>
      <c r="D47" s="67"/>
      <c r="E47" s="67"/>
    </row>
    <row r="48" spans="1:6">
      <c r="A48" s="24" t="s">
        <v>14</v>
      </c>
      <c r="F48" s="78">
        <f>+'W&amp;S SNP'!G8</f>
        <v>0</v>
      </c>
    </row>
    <row r="49" spans="1:6">
      <c r="A49" s="24" t="s">
        <v>367</v>
      </c>
      <c r="F49" s="38">
        <f>+'W&amp;S SNP'!I18</f>
        <v>0</v>
      </c>
    </row>
    <row r="50" spans="1:6" ht="14" thickBot="1">
      <c r="A50" s="24" t="s">
        <v>368</v>
      </c>
      <c r="F50" s="80">
        <f>SUM(F48:F49)</f>
        <v>0</v>
      </c>
    </row>
    <row r="51" spans="1:6" ht="14" thickTop="1"/>
  </sheetData>
  <mergeCells count="4">
    <mergeCell ref="A1:F1"/>
    <mergeCell ref="A2:F2"/>
    <mergeCell ref="A3:F3"/>
    <mergeCell ref="A4:F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46"/>
  <sheetViews>
    <sheetView workbookViewId="0">
      <pane xSplit="2" ySplit="8" topLeftCell="C9" activePane="bottomRight" state="frozen"/>
      <selection pane="topRight" activeCell="C1" sqref="C1"/>
      <selection pane="bottomLeft" activeCell="A9" sqref="A9"/>
      <selection pane="bottomRight" sqref="A1:X1"/>
    </sheetView>
  </sheetViews>
  <sheetFormatPr baseColWidth="10" defaultColWidth="9.5703125" defaultRowHeight="13" x14ac:dyDescent="0"/>
  <cols>
    <col min="1" max="1" width="2.5703125" style="3" customWidth="1"/>
    <col min="2" max="2" width="40.5703125" style="3" customWidth="1"/>
    <col min="3" max="3" width="9.5703125" style="3" customWidth="1"/>
    <col min="4" max="4" width="1.5703125" style="3" customWidth="1"/>
    <col min="5" max="5" width="9.5703125" style="4" customWidth="1"/>
    <col min="6" max="6" width="1.5703125" style="4" customWidth="1"/>
    <col min="7" max="7" width="4.5703125" style="4" customWidth="1"/>
    <col min="8" max="8" width="9.5703125" style="4" customWidth="1"/>
    <col min="9" max="9" width="1.5703125" style="4" customWidth="1"/>
    <col min="10" max="10" width="9.5703125" style="4" customWidth="1"/>
    <col min="11" max="11" width="4.5703125" style="4" customWidth="1"/>
    <col min="12" max="12" width="1.5703125" style="4" customWidth="1"/>
    <col min="13" max="13" width="9.5703125" style="4" hidden="1" customWidth="1"/>
    <col min="14" max="14" width="9.5703125" style="4" customWidth="1"/>
    <col min="15" max="15" width="1.5703125" style="4" customWidth="1"/>
    <col min="16" max="16" width="9.5703125" style="4" customWidth="1"/>
    <col min="17" max="17" width="1.5703125" style="4" customWidth="1"/>
    <col min="18" max="18" width="9.5703125" style="4" customWidth="1"/>
    <col min="19" max="19" width="2.5703125" style="3" customWidth="1"/>
    <col min="20" max="20" width="9.5703125" style="3" customWidth="1"/>
    <col min="21" max="21" width="1.5703125" style="3" customWidth="1"/>
    <col min="22" max="22" width="9.5703125" style="3" customWidth="1"/>
    <col min="23" max="23" width="2.5703125" style="3" customWidth="1"/>
    <col min="24" max="24" width="9.5703125" style="3" customWidth="1"/>
    <col min="25" max="16384" width="9.5703125" style="3"/>
  </cols>
  <sheetData>
    <row r="1" spans="1:24">
      <c r="A1" s="152" t="s">
        <v>0</v>
      </c>
      <c r="B1" s="152"/>
      <c r="C1" s="152"/>
      <c r="D1" s="152"/>
      <c r="E1" s="152"/>
      <c r="F1" s="152"/>
      <c r="G1" s="152"/>
      <c r="H1" s="152"/>
      <c r="I1" s="152"/>
      <c r="J1" s="152"/>
      <c r="K1" s="152"/>
      <c r="L1" s="152"/>
      <c r="M1" s="152"/>
      <c r="N1" s="152"/>
      <c r="O1" s="152"/>
      <c r="P1" s="152"/>
      <c r="Q1" s="152"/>
      <c r="R1" s="152"/>
      <c r="S1" s="152"/>
      <c r="T1" s="152"/>
      <c r="U1" s="152"/>
      <c r="V1" s="152"/>
      <c r="W1" s="152"/>
      <c r="X1" s="152"/>
    </row>
    <row r="2" spans="1:24">
      <c r="A2" s="152" t="s">
        <v>369</v>
      </c>
      <c r="B2" s="152"/>
      <c r="C2" s="152"/>
      <c r="D2" s="152"/>
      <c r="E2" s="152"/>
      <c r="F2" s="152"/>
      <c r="G2" s="152"/>
      <c r="H2" s="152"/>
      <c r="I2" s="152"/>
      <c r="J2" s="152"/>
      <c r="K2" s="152"/>
      <c r="L2" s="152"/>
      <c r="M2" s="152"/>
      <c r="N2" s="152"/>
      <c r="O2" s="152"/>
      <c r="P2" s="152"/>
      <c r="Q2" s="152"/>
      <c r="R2" s="152"/>
      <c r="S2" s="152"/>
      <c r="T2" s="152"/>
      <c r="U2" s="152"/>
      <c r="V2" s="152"/>
      <c r="W2" s="152"/>
      <c r="X2" s="152"/>
    </row>
    <row r="3" spans="1:24">
      <c r="A3" s="152" t="s">
        <v>2</v>
      </c>
      <c r="B3" s="152"/>
      <c r="C3" s="152"/>
      <c r="D3" s="152"/>
      <c r="E3" s="152"/>
      <c r="F3" s="152"/>
      <c r="G3" s="152"/>
      <c r="H3" s="152"/>
      <c r="I3" s="152"/>
      <c r="J3" s="152"/>
      <c r="K3" s="152"/>
      <c r="L3" s="152"/>
      <c r="M3" s="152"/>
      <c r="N3" s="152"/>
      <c r="O3" s="152"/>
      <c r="P3" s="152"/>
      <c r="Q3" s="152"/>
      <c r="R3" s="152"/>
      <c r="S3" s="152"/>
      <c r="T3" s="152"/>
      <c r="U3" s="152"/>
      <c r="V3" s="152"/>
      <c r="W3" s="152"/>
      <c r="X3" s="152"/>
    </row>
    <row r="4" spans="1:24">
      <c r="B4" s="3" t="s">
        <v>3</v>
      </c>
      <c r="C4" s="3">
        <f>IF(C43&gt;E43,0,+E43-C43)</f>
        <v>0</v>
      </c>
      <c r="E4" s="3">
        <f>IF(E43&gt;C43,0,+C43-E43)</f>
        <v>0</v>
      </c>
      <c r="F4" s="3"/>
      <c r="G4" s="3"/>
      <c r="H4" s="3">
        <f>IF(H43&gt;J43,0,+J43-H43)</f>
        <v>0</v>
      </c>
      <c r="I4" s="3"/>
      <c r="J4" s="3">
        <f>IF(J43&gt;H43,0,+H43-J43)</f>
        <v>0</v>
      </c>
      <c r="K4" s="3"/>
      <c r="L4" s="3"/>
      <c r="M4" s="3"/>
      <c r="N4" s="3">
        <f>IF(N43&gt;P43,0,+P43-N43)</f>
        <v>0</v>
      </c>
      <c r="O4" s="3"/>
      <c r="P4" s="3">
        <f>IF(P43&gt;N43,0,+N43-P43)</f>
        <v>0</v>
      </c>
      <c r="Q4" s="3"/>
      <c r="R4" s="3">
        <f>IF(R45&gt;T45,0,+T45-R45)</f>
        <v>0</v>
      </c>
      <c r="T4" s="3">
        <f>IF(T45&gt;R45,0,+R45-T45)</f>
        <v>0</v>
      </c>
      <c r="V4" s="3">
        <f>IF(V45&gt;X45,0,+X45-V45)</f>
        <v>0</v>
      </c>
      <c r="X4" s="3">
        <f>IF(X45&gt;V45,0,+V45-X45)</f>
        <v>0</v>
      </c>
    </row>
    <row r="5" spans="1:24" ht="5" customHeight="1"/>
    <row r="6" spans="1:24">
      <c r="C6" s="1" t="s">
        <v>4</v>
      </c>
      <c r="D6" s="1"/>
      <c r="E6" s="2"/>
      <c r="N6" s="2" t="s">
        <v>4</v>
      </c>
      <c r="O6" s="2"/>
      <c r="P6" s="2"/>
      <c r="V6" s="1"/>
      <c r="W6" s="1"/>
      <c r="X6" s="1"/>
    </row>
    <row r="7" spans="1:24" ht="15.75" customHeight="1">
      <c r="C7" s="1" t="s">
        <v>5</v>
      </c>
      <c r="D7" s="1"/>
      <c r="E7" s="2"/>
      <c r="F7" s="151" t="s">
        <v>6</v>
      </c>
      <c r="G7" s="151"/>
      <c r="H7" s="151"/>
      <c r="I7" s="151"/>
      <c r="J7" s="151"/>
      <c r="K7" s="151"/>
      <c r="L7" s="151"/>
      <c r="N7" s="2" t="s">
        <v>7</v>
      </c>
      <c r="O7" s="2"/>
      <c r="P7" s="2"/>
      <c r="R7" s="2" t="s">
        <v>8</v>
      </c>
      <c r="S7" s="1"/>
      <c r="T7" s="1"/>
      <c r="V7" s="1" t="s">
        <v>9</v>
      </c>
      <c r="W7" s="1"/>
      <c r="X7" s="1"/>
    </row>
    <row r="8" spans="1:24">
      <c r="A8" s="5"/>
      <c r="B8" s="142" t="s">
        <v>10</v>
      </c>
      <c r="C8" s="6" t="s">
        <v>11</v>
      </c>
      <c r="D8" s="7"/>
      <c r="E8" s="8" t="s">
        <v>12</v>
      </c>
      <c r="G8" s="8" t="s">
        <v>13</v>
      </c>
      <c r="H8" s="9" t="s">
        <v>11</v>
      </c>
      <c r="I8" s="10"/>
      <c r="J8" s="8" t="s">
        <v>12</v>
      </c>
      <c r="K8" s="8" t="s">
        <v>13</v>
      </c>
      <c r="N8" s="8" t="s">
        <v>11</v>
      </c>
      <c r="O8" s="10"/>
      <c r="P8" s="8" t="s">
        <v>12</v>
      </c>
      <c r="R8" s="8" t="s">
        <v>11</v>
      </c>
      <c r="S8" s="128">
        <v>2</v>
      </c>
      <c r="T8" s="11" t="s">
        <v>12</v>
      </c>
      <c r="V8" s="6" t="s">
        <v>11</v>
      </c>
      <c r="W8" s="128">
        <v>1</v>
      </c>
      <c r="X8" s="6" t="s">
        <v>12</v>
      </c>
    </row>
    <row r="9" spans="1:24">
      <c r="A9" s="110"/>
      <c r="B9" s="3" t="s">
        <v>14</v>
      </c>
      <c r="C9" s="7">
        <v>57000</v>
      </c>
      <c r="E9" s="10"/>
      <c r="G9" s="8"/>
      <c r="H9" s="10"/>
      <c r="I9" s="141"/>
      <c r="J9" s="10"/>
      <c r="K9" s="8"/>
      <c r="M9" s="4">
        <f>C9-E9+SUM(H9:H11)-SUM(J9:J11)</f>
        <v>57000</v>
      </c>
      <c r="N9" s="10">
        <f>IF(M9&gt;0,+M9,0)</f>
        <v>57000</v>
      </c>
      <c r="P9" s="10">
        <f>IF(M9&lt;0,-M9,0)</f>
        <v>0</v>
      </c>
      <c r="R9" s="10">
        <f>IF($A9=$S$8,+N9,0)</f>
        <v>0</v>
      </c>
      <c r="T9" s="7">
        <f>IF($A9=$S$8,+P9,0)</f>
        <v>0</v>
      </c>
      <c r="V9" s="7">
        <f>IF($A9=$W$8,+N9,0)</f>
        <v>0</v>
      </c>
      <c r="X9" s="7">
        <f>IF($A9=$W$8,+P9,0)</f>
        <v>0</v>
      </c>
    </row>
    <row r="10" spans="1:24">
      <c r="C10" s="146"/>
      <c r="E10" s="16"/>
      <c r="G10" s="19"/>
      <c r="H10" s="16"/>
      <c r="I10" s="141"/>
      <c r="J10" s="16"/>
      <c r="K10" s="19"/>
      <c r="N10" s="16"/>
      <c r="P10" s="16"/>
      <c r="R10" s="16"/>
      <c r="T10" s="146"/>
      <c r="V10" s="146"/>
      <c r="X10" s="146"/>
    </row>
    <row r="11" spans="1:24" ht="5" customHeight="1">
      <c r="B11" s="23"/>
      <c r="C11" s="23"/>
      <c r="D11" s="23"/>
      <c r="E11" s="18"/>
      <c r="G11" s="141"/>
      <c r="I11" s="141"/>
      <c r="K11" s="141"/>
    </row>
    <row r="12" spans="1:24">
      <c r="A12" s="110"/>
      <c r="B12" s="3" t="s">
        <v>270</v>
      </c>
      <c r="C12" s="3">
        <v>8000</v>
      </c>
      <c r="G12" s="141"/>
      <c r="I12" s="141"/>
      <c r="K12" s="141"/>
      <c r="M12" s="4">
        <f>C12-E12+SUM(H12:H13)-SUM(J12:J13)</f>
        <v>8000</v>
      </c>
      <c r="N12" s="4">
        <f>IF(M12&gt;0,+M12,0)</f>
        <v>8000</v>
      </c>
      <c r="P12" s="4">
        <f>IF(M12&lt;0,-M12,0)</f>
        <v>0</v>
      </c>
      <c r="R12" s="4">
        <f>IF($A12=$S$8,+N12,0)</f>
        <v>0</v>
      </c>
      <c r="T12" s="3">
        <f>IF($A12=$S$8,+P12,0)</f>
        <v>0</v>
      </c>
      <c r="V12" s="3">
        <f>IF($A12=$W$8,+N12,0)</f>
        <v>0</v>
      </c>
      <c r="X12" s="3">
        <f>IF($A12=$W$8,+P12,0)</f>
        <v>0</v>
      </c>
    </row>
    <row r="13" spans="1:24" ht="5" customHeight="1">
      <c r="A13" s="110"/>
      <c r="B13" s="23"/>
      <c r="C13" s="23"/>
      <c r="D13" s="23"/>
      <c r="E13" s="18"/>
      <c r="G13" s="141"/>
      <c r="I13" s="141"/>
      <c r="K13" s="141"/>
    </row>
    <row r="14" spans="1:24">
      <c r="A14" s="110"/>
      <c r="B14" s="3" t="s">
        <v>24</v>
      </c>
      <c r="C14" s="3">
        <v>5800</v>
      </c>
      <c r="G14" s="141"/>
      <c r="I14" s="141"/>
      <c r="K14" s="141"/>
      <c r="M14" s="4">
        <f>C14-E14+SUM(H14:H15)-SUM(J14:J15)</f>
        <v>5800</v>
      </c>
      <c r="N14" s="4">
        <f>IF(M14&gt;0,+M14,0)</f>
        <v>5800</v>
      </c>
      <c r="P14" s="4">
        <f>IF(M14&lt;0,-M14,0)</f>
        <v>0</v>
      </c>
      <c r="R14" s="4">
        <f>IF($A14=$S$8,+N14,0)</f>
        <v>0</v>
      </c>
      <c r="T14" s="3">
        <f>IF($A14=$S$8,+P14,0)</f>
        <v>0</v>
      </c>
      <c r="V14" s="3">
        <f>IF($A14=$W$8,+N14,0)</f>
        <v>0</v>
      </c>
      <c r="X14" s="3">
        <f>IF($A14=$W$8,+P14,0)</f>
        <v>0</v>
      </c>
    </row>
    <row r="15" spans="1:24" ht="5" customHeight="1">
      <c r="A15" s="110"/>
      <c r="B15" s="23"/>
      <c r="C15" s="23"/>
      <c r="D15" s="23"/>
      <c r="E15" s="18"/>
      <c r="G15" s="141"/>
      <c r="I15" s="141"/>
      <c r="K15" s="141"/>
    </row>
    <row r="16" spans="1:24">
      <c r="A16" s="110"/>
      <c r="B16" s="3" t="s">
        <v>199</v>
      </c>
      <c r="C16" s="3">
        <v>850000</v>
      </c>
      <c r="G16" s="141"/>
      <c r="I16" s="141"/>
      <c r="K16" s="141"/>
      <c r="M16" s="4">
        <f>C16-E16+SUM(H16:H17)-SUM(J16:J17)</f>
        <v>850000</v>
      </c>
      <c r="N16" s="4">
        <f>IF(M16&gt;0,+M16,0)</f>
        <v>850000</v>
      </c>
      <c r="P16" s="4">
        <f>IF(M16&lt;0,-M16,0)</f>
        <v>0</v>
      </c>
      <c r="R16" s="4">
        <f>IF($A16=$S$8,+N16,0)</f>
        <v>0</v>
      </c>
      <c r="T16" s="3">
        <f>IF($A16=$S$8,+P16,0)</f>
        <v>0</v>
      </c>
      <c r="V16" s="3">
        <f>IF($A16=$W$8,+N16,0)</f>
        <v>0</v>
      </c>
      <c r="X16" s="3">
        <f>IF($A16=$W$8,+P16,0)</f>
        <v>0</v>
      </c>
    </row>
    <row r="17" spans="1:24" ht="5" customHeight="1">
      <c r="A17" s="110"/>
      <c r="B17" s="23"/>
      <c r="C17" s="23"/>
      <c r="D17" s="23"/>
      <c r="E17" s="18"/>
      <c r="G17" s="141"/>
      <c r="I17" s="141"/>
      <c r="K17" s="141"/>
    </row>
    <row r="18" spans="1:24">
      <c r="A18" s="110"/>
      <c r="B18" s="3" t="s">
        <v>197</v>
      </c>
      <c r="E18" s="4">
        <v>145000</v>
      </c>
      <c r="G18" s="141"/>
      <c r="I18" s="141"/>
      <c r="K18" s="141"/>
      <c r="M18" s="4">
        <f>C18-E18+SUM(H18:H19)-SUM(J18:J19)</f>
        <v>-145000</v>
      </c>
      <c r="N18" s="4">
        <f>IF(M18&gt;0,+M18,0)</f>
        <v>0</v>
      </c>
      <c r="P18" s="4">
        <f>IF(M18&lt;0,-M18,0)</f>
        <v>145000</v>
      </c>
      <c r="R18" s="4">
        <f>IF($A18=$S$8,+N18,0)</f>
        <v>0</v>
      </c>
      <c r="T18" s="3">
        <f>IF($A18=$S$8,+P18,0)</f>
        <v>0</v>
      </c>
      <c r="V18" s="3">
        <f>IF($A18=$W$8,+N18,0)</f>
        <v>0</v>
      </c>
      <c r="X18" s="3">
        <f>IF($A18=$W$8,+P18,0)</f>
        <v>0</v>
      </c>
    </row>
    <row r="19" spans="1:24" ht="5" customHeight="1">
      <c r="A19" s="110"/>
      <c r="B19" s="23"/>
      <c r="C19" s="23"/>
      <c r="D19" s="23"/>
      <c r="E19" s="18"/>
      <c r="G19" s="141"/>
      <c r="I19" s="141"/>
      <c r="K19" s="141"/>
    </row>
    <row r="20" spans="1:24">
      <c r="A20" s="110"/>
      <c r="B20" s="3" t="s">
        <v>25</v>
      </c>
      <c r="E20" s="4">
        <v>3800</v>
      </c>
      <c r="G20" s="141"/>
      <c r="I20" s="141"/>
      <c r="K20" s="141"/>
      <c r="M20" s="4">
        <f>C20-E20+SUM(H20:H21)-SUM(J20:J21)</f>
        <v>-3800</v>
      </c>
      <c r="N20" s="4">
        <f>IF(M20&gt;0,+M20,0)</f>
        <v>0</v>
      </c>
      <c r="P20" s="4">
        <f>IF(M20&lt;0,-M20,0)</f>
        <v>3800</v>
      </c>
      <c r="R20" s="4">
        <f>IF($A20=$S$8,+N20,0)</f>
        <v>0</v>
      </c>
      <c r="T20" s="3">
        <f>IF($A20=$S$8,+P20,0)</f>
        <v>0</v>
      </c>
      <c r="V20" s="3">
        <f>IF($A20=$W$8,+N20,0)</f>
        <v>0</v>
      </c>
      <c r="X20" s="3">
        <f>IF($A20=$W$8,+P20,0)</f>
        <v>0</v>
      </c>
    </row>
    <row r="21" spans="1:24" ht="5" customHeight="1">
      <c r="A21" s="110"/>
      <c r="B21" s="23"/>
      <c r="C21" s="23"/>
      <c r="D21" s="23"/>
      <c r="E21" s="18"/>
      <c r="G21" s="141"/>
      <c r="I21" s="141"/>
      <c r="K21" s="141"/>
    </row>
    <row r="22" spans="1:24">
      <c r="A22" s="110"/>
      <c r="B22" s="3" t="s">
        <v>186</v>
      </c>
      <c r="E22" s="4">
        <v>772000</v>
      </c>
      <c r="G22" s="141"/>
      <c r="I22" s="141"/>
      <c r="K22" s="141"/>
      <c r="M22" s="4">
        <f>C22-E22+SUM(H22:H23)-SUM(J22:J23)</f>
        <v>-772000</v>
      </c>
      <c r="N22" s="4">
        <f>IF(M22&gt;0,+M22,0)</f>
        <v>0</v>
      </c>
      <c r="P22" s="4">
        <f>IF(M22&lt;0,-M22,0)</f>
        <v>772000</v>
      </c>
      <c r="R22" s="4">
        <f>IF($A22=$S$8,+N22,0)</f>
        <v>0</v>
      </c>
      <c r="T22" s="3">
        <f>IF($A22=$S$8,+P22,0)</f>
        <v>0</v>
      </c>
      <c r="V22" s="3">
        <f>IF($A22=$W$8,+N22,0)</f>
        <v>0</v>
      </c>
      <c r="X22" s="3">
        <f>IF($A22=$W$8,+P22,0)</f>
        <v>0</v>
      </c>
    </row>
    <row r="23" spans="1:24" ht="5" customHeight="1">
      <c r="A23" s="110"/>
      <c r="B23" s="23"/>
      <c r="C23" s="23"/>
      <c r="D23" s="23"/>
      <c r="E23" s="18"/>
      <c r="G23" s="141"/>
      <c r="I23" s="141"/>
      <c r="K23" s="141"/>
    </row>
    <row r="24" spans="1:24">
      <c r="A24" s="110"/>
      <c r="B24" s="3" t="s">
        <v>370</v>
      </c>
      <c r="G24" s="141"/>
      <c r="I24" s="141"/>
      <c r="K24" s="141"/>
      <c r="M24" s="4">
        <f>C24-E24+SUM(H24:H25)-SUM(J24:J25)</f>
        <v>0</v>
      </c>
      <c r="N24" s="4">
        <f>IF(M24&gt;0,+M24,0)</f>
        <v>0</v>
      </c>
      <c r="P24" s="4">
        <f>IF(M24&lt;0,-M24,0)</f>
        <v>0</v>
      </c>
      <c r="R24" s="4">
        <f>IF($A24=$S$8,+N24,0)</f>
        <v>0</v>
      </c>
      <c r="T24" s="3">
        <f>IF($A24=$S$8,+P24,0)</f>
        <v>0</v>
      </c>
      <c r="V24" s="3">
        <f>IF($A24=$W$8,+N24,0)</f>
        <v>0</v>
      </c>
      <c r="X24" s="3">
        <f>IF($A24=$W$8,+P24,0)</f>
        <v>0</v>
      </c>
    </row>
    <row r="25" spans="1:24" ht="5" customHeight="1">
      <c r="A25" s="110"/>
      <c r="B25" s="23"/>
      <c r="C25" s="23"/>
      <c r="D25" s="23"/>
      <c r="E25" s="18"/>
      <c r="G25" s="141"/>
      <c r="I25" s="141"/>
      <c r="K25" s="141"/>
    </row>
    <row r="26" spans="1:24">
      <c r="A26" s="110"/>
      <c r="B26" s="3" t="s">
        <v>371</v>
      </c>
      <c r="G26" s="141"/>
      <c r="I26" s="141"/>
      <c r="K26" s="141"/>
      <c r="M26" s="4">
        <f>C26-E26+SUM(H26:H27)-SUM(J26:J27)</f>
        <v>0</v>
      </c>
      <c r="N26" s="4">
        <f>IF(M26&gt;0,+M26,0)</f>
        <v>0</v>
      </c>
      <c r="P26" s="4">
        <f>IF(M26&lt;0,-M26,0)</f>
        <v>0</v>
      </c>
      <c r="R26" s="4">
        <f>IF($A26=$S$8,+N26,0)</f>
        <v>0</v>
      </c>
      <c r="T26" s="3">
        <f>IF($A26=$S$8,+P26,0)</f>
        <v>0</v>
      </c>
      <c r="V26" s="3">
        <f>IF($A26=$W$8,+N26,0)</f>
        <v>0</v>
      </c>
      <c r="X26" s="3">
        <f>IF($A26=$W$8,+P26,0)</f>
        <v>0</v>
      </c>
    </row>
    <row r="27" spans="1:24" ht="5" customHeight="1">
      <c r="A27" s="110"/>
      <c r="B27" s="23"/>
      <c r="C27" s="23"/>
      <c r="D27" s="23"/>
      <c r="E27" s="18"/>
      <c r="G27" s="141"/>
      <c r="I27" s="141"/>
      <c r="K27" s="141"/>
    </row>
    <row r="28" spans="1:24">
      <c r="A28" s="110"/>
      <c r="B28" s="3" t="s">
        <v>372</v>
      </c>
      <c r="G28" s="141"/>
      <c r="I28" s="141"/>
      <c r="K28" s="141"/>
      <c r="M28" s="4">
        <f>C28-E28+SUM(H28:H29)-SUM(J28:J29)</f>
        <v>0</v>
      </c>
      <c r="N28" s="4">
        <f>IF(M28&gt;0,+M28,0)</f>
        <v>0</v>
      </c>
      <c r="P28" s="4">
        <f>IF(M28&lt;0,-M28,0)</f>
        <v>0</v>
      </c>
      <c r="R28" s="4">
        <f>IF($A28=$S$8,+N28,0)</f>
        <v>0</v>
      </c>
      <c r="T28" s="3">
        <f>IF($A28=$S$8,+P28,0)</f>
        <v>0</v>
      </c>
      <c r="V28" s="3">
        <f>IF($A28=$W$8,+N28,0)</f>
        <v>0</v>
      </c>
      <c r="X28" s="3">
        <f>IF($A28=$W$8,+P28,0)</f>
        <v>0</v>
      </c>
    </row>
    <row r="29" spans="1:24" ht="5" customHeight="1">
      <c r="A29" s="110"/>
      <c r="B29" s="23"/>
      <c r="C29" s="23"/>
      <c r="D29" s="23"/>
      <c r="E29" s="18"/>
      <c r="G29" s="141"/>
      <c r="I29" s="141"/>
      <c r="K29" s="141"/>
    </row>
    <row r="30" spans="1:24">
      <c r="A30" s="110"/>
      <c r="B30" s="3" t="s">
        <v>373</v>
      </c>
      <c r="G30" s="141"/>
      <c r="I30" s="141"/>
      <c r="K30" s="141"/>
      <c r="M30" s="4">
        <f>C30-E30+SUM(H30:H32)-SUM(J30:J32)</f>
        <v>0</v>
      </c>
      <c r="N30" s="4">
        <f>IF(M30&gt;0,+M30,0)</f>
        <v>0</v>
      </c>
      <c r="P30" s="4">
        <f>IF(M30&lt;0,-M30,0)</f>
        <v>0</v>
      </c>
      <c r="R30" s="4">
        <f>IF($A30=$S$8,+N30,0)</f>
        <v>0</v>
      </c>
      <c r="T30" s="3">
        <f>IF($A30=$S$8,+P30,0)</f>
        <v>0</v>
      </c>
      <c r="V30" s="3">
        <f>IF($A30=$W$8,+N30,0)</f>
        <v>0</v>
      </c>
      <c r="X30" s="3">
        <f>IF($A30=$W$8,+P30,0)</f>
        <v>0</v>
      </c>
    </row>
    <row r="31" spans="1:24">
      <c r="G31" s="141"/>
      <c r="I31" s="141"/>
      <c r="K31" s="141"/>
    </row>
    <row r="32" spans="1:24" ht="5" customHeight="1">
      <c r="B32" s="23"/>
      <c r="C32" s="23"/>
      <c r="D32" s="23"/>
      <c r="E32" s="18"/>
      <c r="G32" s="141"/>
      <c r="I32" s="141"/>
      <c r="K32" s="141"/>
    </row>
    <row r="33" spans="1:24">
      <c r="A33" s="110"/>
      <c r="B33" s="3" t="s">
        <v>374</v>
      </c>
      <c r="G33" s="141"/>
      <c r="I33" s="141"/>
      <c r="K33" s="141"/>
      <c r="M33" s="4">
        <f>C33-E33+SUM(H33:H34)-SUM(J33:J34)</f>
        <v>0</v>
      </c>
      <c r="N33" s="4">
        <f>IF(M33&gt;0,+M33,0)</f>
        <v>0</v>
      </c>
      <c r="P33" s="4">
        <f>IF(M33&lt;0,-M33,0)</f>
        <v>0</v>
      </c>
      <c r="R33" s="4">
        <f>IF($A33=$S$8,+N33,0)</f>
        <v>0</v>
      </c>
      <c r="T33" s="3">
        <f>IF($A33=$S$8,+P33,0)</f>
        <v>0</v>
      </c>
      <c r="V33" s="3">
        <f>IF($A33=$W$8,+N33,0)</f>
        <v>0</v>
      </c>
      <c r="X33" s="3">
        <f>IF($A33=$W$8,+P33,0)</f>
        <v>0</v>
      </c>
    </row>
    <row r="34" spans="1:24" ht="5" customHeight="1">
      <c r="A34" s="110"/>
      <c r="B34" s="23"/>
      <c r="C34" s="23"/>
      <c r="D34" s="23"/>
      <c r="E34" s="18"/>
      <c r="G34" s="141"/>
      <c r="I34" s="141"/>
      <c r="K34" s="141"/>
    </row>
    <row r="35" spans="1:24">
      <c r="A35" s="110"/>
      <c r="B35" s="3" t="s">
        <v>375</v>
      </c>
      <c r="G35" s="141"/>
      <c r="I35" s="141"/>
      <c r="K35" s="141"/>
      <c r="M35" s="4">
        <f>C35-E35+SUM(H35:H36)-SUM(J35:J36)</f>
        <v>0</v>
      </c>
      <c r="N35" s="4">
        <f>IF(M35&gt;0,+M35,0)</f>
        <v>0</v>
      </c>
      <c r="P35" s="4">
        <f>IF(M35&lt;0,-M35,0)</f>
        <v>0</v>
      </c>
      <c r="R35" s="4">
        <f>IF($A35=$S$8,+N35,0)</f>
        <v>0</v>
      </c>
      <c r="T35" s="3">
        <f>IF($A35=$S$8,+P35,0)</f>
        <v>0</v>
      </c>
      <c r="V35" s="3">
        <f>IF($A35=$W$8,+N35,0)</f>
        <v>0</v>
      </c>
      <c r="X35" s="3">
        <f>IF($A35=$W$8,+P35,0)</f>
        <v>0</v>
      </c>
    </row>
    <row r="36" spans="1:24" ht="5" customHeight="1">
      <c r="A36" s="110"/>
      <c r="B36" s="23"/>
      <c r="C36" s="23"/>
      <c r="D36" s="23"/>
      <c r="E36" s="18"/>
      <c r="G36" s="141"/>
      <c r="I36" s="141"/>
      <c r="K36" s="141"/>
    </row>
    <row r="37" spans="1:24">
      <c r="A37" s="110"/>
      <c r="B37" s="3" t="s">
        <v>269</v>
      </c>
      <c r="G37" s="141"/>
      <c r="I37" s="141"/>
      <c r="K37" s="141"/>
      <c r="M37" s="4">
        <f>C37-E37+SUM(H37:H38)-SUM(J37:J38)</f>
        <v>0</v>
      </c>
      <c r="N37" s="4">
        <f>IF(M37&gt;0,+M37,0)</f>
        <v>0</v>
      </c>
      <c r="P37" s="4">
        <f>IF(M37&lt;0,-M37,0)</f>
        <v>0</v>
      </c>
      <c r="R37" s="4">
        <f>IF($A37=$S$8,+N37,0)</f>
        <v>0</v>
      </c>
      <c r="T37" s="3">
        <f>IF($A37=$S$8,+P37,0)</f>
        <v>0</v>
      </c>
      <c r="V37" s="3">
        <f>IF($A37=$W$8,+N37,0)</f>
        <v>0</v>
      </c>
      <c r="X37" s="3">
        <f>IF($A37=$W$8,+P37,0)</f>
        <v>0</v>
      </c>
    </row>
    <row r="38" spans="1:24" ht="5" customHeight="1">
      <c r="A38" s="110"/>
      <c r="B38" s="23"/>
      <c r="C38" s="23"/>
      <c r="D38" s="23"/>
      <c r="E38" s="18"/>
      <c r="G38" s="141"/>
      <c r="I38" s="141"/>
      <c r="K38" s="141"/>
    </row>
    <row r="39" spans="1:24">
      <c r="A39" s="110"/>
      <c r="B39" s="3" t="s">
        <v>259</v>
      </c>
      <c r="G39" s="141"/>
      <c r="I39" s="141"/>
      <c r="K39" s="141"/>
      <c r="M39" s="4">
        <f>C39-E39+SUM(H39:H40)-SUM(J39:J40)</f>
        <v>0</v>
      </c>
      <c r="N39" s="4">
        <f>IF(M39&gt;0,+M39,0)</f>
        <v>0</v>
      </c>
      <c r="P39" s="4">
        <f>IF(M39&lt;0,-M39,0)</f>
        <v>0</v>
      </c>
      <c r="R39" s="4">
        <f>IF($A39=$S$8,+N39,0)</f>
        <v>0</v>
      </c>
      <c r="T39" s="3">
        <f>IF($A39=$S$8,+P39,0)</f>
        <v>0</v>
      </c>
      <c r="V39" s="3">
        <f>IF($A39=$W$8,+N39,0)</f>
        <v>0</v>
      </c>
      <c r="X39" s="3">
        <f>IF($A39=$W$8,+P39,0)</f>
        <v>0</v>
      </c>
    </row>
    <row r="40" spans="1:24" ht="4.5" customHeight="1">
      <c r="B40" s="23"/>
      <c r="C40" s="23"/>
      <c r="D40" s="23"/>
      <c r="E40" s="18"/>
      <c r="G40" s="141"/>
      <c r="I40" s="141"/>
      <c r="K40" s="141"/>
    </row>
    <row r="41" spans="1:24">
      <c r="G41" s="141"/>
      <c r="I41" s="141"/>
      <c r="K41" s="141"/>
      <c r="M41" s="4">
        <f>C41-E41+SUM(H41:H42)-SUM(J41:J42)</f>
        <v>0</v>
      </c>
      <c r="N41" s="4">
        <f>IF(M41&gt;0,+M41,0)</f>
        <v>0</v>
      </c>
      <c r="P41" s="4">
        <f>IF(M41&lt;0,-M41,0)</f>
        <v>0</v>
      </c>
      <c r="R41" s="4">
        <f>IF($A41=$S$8,+N41,0)</f>
        <v>0</v>
      </c>
      <c r="T41" s="3">
        <f>IF($A41=$S$8,+P41,0)</f>
        <v>0</v>
      </c>
      <c r="V41" s="3">
        <f>IF($A41=$W$8,+N41,0)</f>
        <v>0</v>
      </c>
      <c r="X41" s="3">
        <f>IF($A41=$W$8,+P41,0)</f>
        <v>0</v>
      </c>
    </row>
    <row r="42" spans="1:24" ht="5" customHeight="1" thickBot="1">
      <c r="B42" s="23"/>
      <c r="C42" s="23"/>
      <c r="D42" s="23"/>
      <c r="E42" s="18"/>
      <c r="G42" s="141"/>
    </row>
    <row r="43" spans="1:24" ht="14" thickBot="1">
      <c r="C43" s="12">
        <f>SUM(C9:C42)</f>
        <v>920800</v>
      </c>
      <c r="E43" s="13">
        <f>SUM(E9:E42)</f>
        <v>920800</v>
      </c>
      <c r="H43" s="13">
        <f>SUM(H9:H42)</f>
        <v>0</v>
      </c>
      <c r="J43" s="13">
        <f>SUM(J9:J42)</f>
        <v>0</v>
      </c>
      <c r="N43" s="13">
        <f>SUM(N9:N42)</f>
        <v>920800</v>
      </c>
      <c r="P43" s="13">
        <f>SUM(P9:P42)</f>
        <v>920800</v>
      </c>
      <c r="R43" s="13">
        <f>SUM(R9:R42)</f>
        <v>0</v>
      </c>
      <c r="S43" s="4"/>
      <c r="T43" s="13">
        <f>SUM(T9:T42)</f>
        <v>0</v>
      </c>
      <c r="V43" s="13">
        <f>SUM(V9:V42)</f>
        <v>0</v>
      </c>
      <c r="W43" s="4"/>
      <c r="X43" s="13">
        <f>SUM(X9:X42)</f>
        <v>0</v>
      </c>
    </row>
    <row r="44" spans="1:24" ht="15" thickTop="1" thickBot="1">
      <c r="B44" s="3" t="s">
        <v>55</v>
      </c>
      <c r="C44" s="14"/>
      <c r="E44" s="15"/>
      <c r="H44" s="15"/>
      <c r="J44" s="15"/>
      <c r="N44" s="15"/>
      <c r="P44" s="15"/>
      <c r="R44" s="4">
        <f>IF(R43&gt;T43,0,+T43-R43)</f>
        <v>0</v>
      </c>
      <c r="T44" s="3">
        <f>IF(T43&gt;R43,0,+R43-T43)</f>
        <v>0</v>
      </c>
      <c r="V44" s="3">
        <f>T44</f>
        <v>0</v>
      </c>
      <c r="X44" s="3">
        <f>R44</f>
        <v>0</v>
      </c>
    </row>
    <row r="45" spans="1:24" ht="14" thickBot="1">
      <c r="R45" s="13">
        <f>R44+R43</f>
        <v>0</v>
      </c>
      <c r="T45" s="12">
        <f>T44+T43</f>
        <v>0</v>
      </c>
      <c r="V45" s="12">
        <f>V44+V43</f>
        <v>0</v>
      </c>
      <c r="X45" s="12">
        <f>X44+X43</f>
        <v>0</v>
      </c>
    </row>
    <row r="46" spans="1:24" ht="14" thickTop="1">
      <c r="R46" s="15"/>
      <c r="T46" s="14"/>
      <c r="V46" s="14"/>
      <c r="X46" s="14"/>
    </row>
  </sheetData>
  <mergeCells count="4">
    <mergeCell ref="A1:X1"/>
    <mergeCell ref="A2:X2"/>
    <mergeCell ref="A3:X3"/>
    <mergeCell ref="F7:L7"/>
  </mergeCells>
  <printOptions horizontalCentered="1"/>
  <pageMargins left="0.2" right="0.2" top="0.75" bottom="0.75" header="0.3" footer="0.3"/>
  <pageSetup scale="67" orientation="landscape"/>
  <extLst>
    <ext xmlns:mx="http://schemas.microsoft.com/office/mac/excel/2008/main" uri="{64002731-A6B0-56B0-2670-7721B7C09600}">
      <mx:PLV Mode="0" OnePage="0" WScale="0"/>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F19"/>
  <sheetViews>
    <sheetView workbookViewId="0">
      <selection activeCell="A2" sqref="A2:F2"/>
    </sheetView>
  </sheetViews>
  <sheetFormatPr baseColWidth="10" defaultColWidth="8.5703125" defaultRowHeight="13" x14ac:dyDescent="0"/>
  <cols>
    <col min="1" max="2" width="2.5703125" style="24" customWidth="1"/>
    <col min="3" max="3" width="31.5703125" style="24" customWidth="1"/>
    <col min="4" max="4" width="10.5703125" style="24" customWidth="1"/>
    <col min="5" max="5" width="0.85546875" style="24" customWidth="1"/>
    <col min="6" max="6" width="10.5703125" style="24" customWidth="1"/>
    <col min="7" max="16384" width="8.5703125" style="24"/>
  </cols>
  <sheetData>
    <row r="1" spans="1:6">
      <c r="A1" s="153" t="s">
        <v>56</v>
      </c>
      <c r="B1" s="153"/>
      <c r="C1" s="153"/>
      <c r="D1" s="153"/>
      <c r="E1" s="153"/>
      <c r="F1" s="153"/>
    </row>
    <row r="2" spans="1:6">
      <c r="A2" s="153" t="s">
        <v>376</v>
      </c>
      <c r="B2" s="153"/>
      <c r="C2" s="153"/>
      <c r="D2" s="153"/>
      <c r="E2" s="153"/>
      <c r="F2" s="153"/>
    </row>
    <row r="3" spans="1:6">
      <c r="A3" s="153" t="s">
        <v>273</v>
      </c>
      <c r="B3" s="153"/>
      <c r="C3" s="153"/>
      <c r="D3" s="153"/>
      <c r="E3" s="153"/>
      <c r="F3" s="153"/>
    </row>
    <row r="4" spans="1:6">
      <c r="A4" s="153" t="s">
        <v>59</v>
      </c>
      <c r="B4" s="153"/>
      <c r="C4" s="153"/>
      <c r="D4" s="153"/>
      <c r="E4" s="153"/>
      <c r="F4" s="153"/>
    </row>
    <row r="5" spans="1:6">
      <c r="A5" s="25"/>
      <c r="B5" s="25"/>
      <c r="C5" s="25"/>
      <c r="D5" s="25"/>
      <c r="E5" s="25"/>
      <c r="F5" s="25"/>
    </row>
    <row r="6" spans="1:6">
      <c r="A6" s="63" t="s">
        <v>274</v>
      </c>
      <c r="B6" s="63"/>
      <c r="C6" s="63"/>
      <c r="D6" s="25"/>
      <c r="E6" s="25"/>
      <c r="F6" s="25"/>
    </row>
    <row r="7" spans="1:6">
      <c r="B7" s="27" t="s">
        <v>377</v>
      </c>
      <c r="C7" s="27"/>
      <c r="F7" s="75">
        <f>+'CCN ISF'!T24+'CCN ISF'!T26</f>
        <v>0</v>
      </c>
    </row>
    <row r="8" spans="1:6">
      <c r="A8" s="25"/>
      <c r="B8" s="25"/>
      <c r="C8" s="25"/>
      <c r="D8" s="27"/>
      <c r="E8" s="27"/>
      <c r="F8" s="25"/>
    </row>
    <row r="9" spans="1:6">
      <c r="A9" s="63" t="s">
        <v>277</v>
      </c>
      <c r="B9" s="63"/>
      <c r="C9" s="63"/>
      <c r="D9" s="27"/>
      <c r="E9" s="27"/>
      <c r="F9" s="25"/>
    </row>
    <row r="10" spans="1:6">
      <c r="B10" s="27" t="s">
        <v>278</v>
      </c>
      <c r="C10" s="27"/>
      <c r="D10" s="75">
        <f>+'CCN ISF'!R30</f>
        <v>0</v>
      </c>
      <c r="E10" s="31"/>
      <c r="F10" s="25"/>
    </row>
    <row r="11" spans="1:6">
      <c r="B11" s="27" t="s">
        <v>279</v>
      </c>
      <c r="C11" s="27"/>
      <c r="D11" s="27">
        <f>+'CCN ISF'!R39</f>
        <v>0</v>
      </c>
      <c r="E11" s="27"/>
      <c r="F11" s="25"/>
    </row>
    <row r="12" spans="1:6">
      <c r="B12" s="27" t="s">
        <v>280</v>
      </c>
      <c r="C12" s="27"/>
      <c r="D12" s="27">
        <f>+'CCN ISF'!R33</f>
        <v>0</v>
      </c>
      <c r="E12" s="27"/>
      <c r="F12" s="25"/>
    </row>
    <row r="13" spans="1:6">
      <c r="B13" s="27" t="s">
        <v>281</v>
      </c>
      <c r="C13" s="27"/>
      <c r="D13" s="27">
        <f>+'CCN ISF'!R35</f>
        <v>0</v>
      </c>
      <c r="E13" s="27"/>
      <c r="F13" s="25">
        <f>SUM(D10:D13)</f>
        <v>0</v>
      </c>
    </row>
    <row r="14" spans="1:6">
      <c r="A14" s="27"/>
      <c r="B14" s="27"/>
      <c r="C14" s="27"/>
      <c r="D14" s="29"/>
      <c r="E14" s="27"/>
      <c r="F14" s="29"/>
    </row>
    <row r="15" spans="1:6">
      <c r="A15" s="63" t="s">
        <v>378</v>
      </c>
      <c r="B15" s="63"/>
      <c r="C15" s="63"/>
      <c r="D15" s="27"/>
      <c r="E15" s="27"/>
      <c r="F15" s="27">
        <f>+F7-F13</f>
        <v>0</v>
      </c>
    </row>
    <row r="16" spans="1:6">
      <c r="A16" s="25"/>
      <c r="B16" s="25"/>
      <c r="C16" s="25"/>
      <c r="D16" s="27"/>
      <c r="E16" s="27"/>
      <c r="F16" s="27"/>
    </row>
    <row r="17" spans="1:6">
      <c r="A17" s="63" t="s">
        <v>289</v>
      </c>
      <c r="B17" s="63"/>
      <c r="C17" s="63"/>
      <c r="D17" s="25"/>
      <c r="E17" s="25"/>
      <c r="F17" s="27">
        <f>+'CCN ISF'!E22</f>
        <v>772000</v>
      </c>
    </row>
    <row r="18" spans="1:6" ht="14" thickBot="1">
      <c r="A18" s="63" t="s">
        <v>290</v>
      </c>
      <c r="B18" s="63"/>
      <c r="C18" s="63"/>
      <c r="D18" s="25"/>
      <c r="E18" s="25"/>
      <c r="F18" s="30">
        <f>+F17+F15</f>
        <v>772000</v>
      </c>
    </row>
    <row r="19" spans="1:6" ht="14" thickTop="1">
      <c r="A19" s="25"/>
      <c r="B19" s="25"/>
      <c r="C19" s="25"/>
      <c r="D19" s="25"/>
      <c r="E19" s="25"/>
      <c r="F19" s="25"/>
    </row>
  </sheetData>
  <mergeCells count="4">
    <mergeCell ref="A1:F1"/>
    <mergeCell ref="A2:F2"/>
    <mergeCell ref="A3:F3"/>
    <mergeCell ref="A4:F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G33"/>
  <sheetViews>
    <sheetView workbookViewId="0">
      <selection activeCell="A2" sqref="A2:F2"/>
    </sheetView>
  </sheetViews>
  <sheetFormatPr baseColWidth="10" defaultColWidth="8.5703125" defaultRowHeight="13" x14ac:dyDescent="0"/>
  <cols>
    <col min="1" max="2" width="2.5703125" style="24" customWidth="1"/>
    <col min="3" max="3" width="32.42578125" style="24" customWidth="1"/>
    <col min="4" max="4" width="9.5703125" style="24" customWidth="1"/>
    <col min="5" max="5" width="0.85546875" style="24" customWidth="1"/>
    <col min="6" max="6" width="9.5703125" style="24" customWidth="1"/>
    <col min="7" max="16384" width="8.5703125" style="24"/>
  </cols>
  <sheetData>
    <row r="1" spans="1:7">
      <c r="A1" s="154" t="s">
        <v>56</v>
      </c>
      <c r="B1" s="154"/>
      <c r="C1" s="154"/>
      <c r="D1" s="154"/>
      <c r="E1" s="154"/>
      <c r="F1" s="154"/>
    </row>
    <row r="2" spans="1:7">
      <c r="A2" s="154" t="s">
        <v>376</v>
      </c>
      <c r="B2" s="154"/>
      <c r="C2" s="154"/>
      <c r="D2" s="154"/>
      <c r="E2" s="154"/>
      <c r="F2" s="154"/>
    </row>
    <row r="3" spans="1:7">
      <c r="A3" s="154" t="s">
        <v>291</v>
      </c>
      <c r="B3" s="154"/>
      <c r="C3" s="154"/>
      <c r="D3" s="154"/>
      <c r="E3" s="154"/>
      <c r="F3" s="154"/>
    </row>
    <row r="4" spans="1:7">
      <c r="A4" s="154" t="s">
        <v>89</v>
      </c>
      <c r="B4" s="154"/>
      <c r="C4" s="154"/>
      <c r="D4" s="154"/>
      <c r="E4" s="154"/>
      <c r="F4" s="154"/>
    </row>
    <row r="6" spans="1:7">
      <c r="A6" s="154" t="s">
        <v>292</v>
      </c>
      <c r="B6" s="154"/>
      <c r="C6" s="154"/>
      <c r="D6" s="154"/>
      <c r="E6" s="154"/>
      <c r="F6" s="154"/>
    </row>
    <row r="7" spans="1:7">
      <c r="A7" s="63" t="s">
        <v>293</v>
      </c>
      <c r="B7" s="63"/>
      <c r="C7" s="63"/>
      <c r="D7" s="63"/>
      <c r="E7" s="63"/>
      <c r="F7" s="25"/>
      <c r="G7" s="25"/>
    </row>
    <row r="8" spans="1:7">
      <c r="B8" s="25" t="s">
        <v>14</v>
      </c>
      <c r="C8" s="25"/>
      <c r="D8" s="75">
        <f>+'CCN ISF'!V9</f>
        <v>0</v>
      </c>
      <c r="E8" s="25"/>
      <c r="F8" s="31"/>
      <c r="G8" s="25"/>
    </row>
    <row r="9" spans="1:7">
      <c r="B9" s="25" t="s">
        <v>294</v>
      </c>
      <c r="C9" s="25"/>
      <c r="D9" s="25">
        <f>+'CCN ISF'!V12</f>
        <v>0</v>
      </c>
      <c r="E9" s="25"/>
      <c r="F9" s="27"/>
      <c r="G9" s="25"/>
    </row>
    <row r="10" spans="1:7">
      <c r="B10" s="71" t="s">
        <v>379</v>
      </c>
      <c r="C10" s="71"/>
      <c r="D10" s="71">
        <f>+'CCN ISF'!V28</f>
        <v>0</v>
      </c>
      <c r="E10" s="71"/>
      <c r="F10" s="27"/>
      <c r="G10" s="25"/>
    </row>
    <row r="11" spans="1:7">
      <c r="B11" s="25" t="s">
        <v>24</v>
      </c>
      <c r="C11" s="25"/>
      <c r="D11" s="25">
        <f>+'CCN ISF'!V14</f>
        <v>0</v>
      </c>
      <c r="E11" s="25"/>
      <c r="F11" s="27"/>
      <c r="G11" s="25"/>
    </row>
    <row r="12" spans="1:7">
      <c r="B12" s="25"/>
      <c r="C12" s="25" t="s">
        <v>297</v>
      </c>
      <c r="D12" s="28"/>
      <c r="E12" s="25"/>
      <c r="F12" s="75">
        <f>SUM(D8:D11)</f>
        <v>0</v>
      </c>
      <c r="G12" s="31"/>
    </row>
    <row r="13" spans="1:7">
      <c r="A13" s="25"/>
      <c r="B13" s="25"/>
      <c r="C13" s="25"/>
      <c r="D13" s="25"/>
      <c r="E13" s="25"/>
      <c r="F13" s="25"/>
      <c r="G13" s="25"/>
    </row>
    <row r="14" spans="1:7">
      <c r="A14" s="63" t="s">
        <v>298</v>
      </c>
      <c r="B14" s="25"/>
      <c r="C14" s="25"/>
      <c r="D14" s="25"/>
      <c r="E14" s="25"/>
      <c r="F14" s="25"/>
      <c r="G14" s="25"/>
    </row>
    <row r="15" spans="1:7">
      <c r="B15" s="27" t="s">
        <v>199</v>
      </c>
      <c r="D15" s="27">
        <f>+'CCN ISF'!V16</f>
        <v>0</v>
      </c>
      <c r="E15" s="27"/>
      <c r="F15" s="27"/>
    </row>
    <row r="16" spans="1:7" ht="16">
      <c r="B16" s="27" t="s">
        <v>380</v>
      </c>
      <c r="D16" s="27">
        <f>-'CCN ISF'!X18</f>
        <v>0</v>
      </c>
      <c r="E16" s="27"/>
      <c r="F16" s="27"/>
      <c r="G16" s="66"/>
    </row>
    <row r="17" spans="1:7">
      <c r="A17" s="25"/>
      <c r="B17" s="25"/>
      <c r="C17" s="25" t="s">
        <v>306</v>
      </c>
      <c r="D17" s="28"/>
      <c r="E17" s="25"/>
      <c r="F17" s="25">
        <f>SUM(D15:D16)</f>
        <v>0</v>
      </c>
      <c r="G17" s="27"/>
    </row>
    <row r="18" spans="1:7">
      <c r="A18" s="25"/>
      <c r="B18" s="25"/>
      <c r="C18" s="25"/>
      <c r="E18" s="25"/>
      <c r="F18" s="28"/>
      <c r="G18" s="27"/>
    </row>
    <row r="19" spans="1:7" ht="16">
      <c r="A19" s="63" t="s">
        <v>100</v>
      </c>
      <c r="B19" s="25"/>
      <c r="C19" s="25"/>
      <c r="D19" s="25"/>
      <c r="E19" s="25"/>
      <c r="F19" s="25">
        <f>+F17+F12</f>
        <v>0</v>
      </c>
      <c r="G19" s="65"/>
    </row>
    <row r="20" spans="1:7">
      <c r="A20" s="25"/>
      <c r="B20" s="25"/>
      <c r="C20" s="25"/>
      <c r="D20" s="25"/>
      <c r="E20" s="25"/>
      <c r="F20" s="25"/>
      <c r="G20" s="25"/>
    </row>
    <row r="21" spans="1:7">
      <c r="A21" s="153" t="s">
        <v>307</v>
      </c>
      <c r="B21" s="153"/>
      <c r="C21" s="153"/>
      <c r="D21" s="153"/>
      <c r="E21" s="153"/>
      <c r="F21" s="153"/>
      <c r="G21" s="25"/>
    </row>
    <row r="22" spans="1:7">
      <c r="A22" s="63" t="s">
        <v>308</v>
      </c>
      <c r="B22" s="63"/>
      <c r="C22" s="63"/>
      <c r="D22" s="63"/>
      <c r="E22" s="63"/>
      <c r="F22" s="25"/>
      <c r="G22" s="25"/>
    </row>
    <row r="23" spans="1:7">
      <c r="B23" s="25" t="s">
        <v>25</v>
      </c>
      <c r="C23" s="25"/>
      <c r="D23" s="25">
        <f>+'CCN ISF'!X20</f>
        <v>0</v>
      </c>
      <c r="E23" s="25"/>
      <c r="F23" s="31"/>
      <c r="G23" s="25"/>
    </row>
    <row r="24" spans="1:7">
      <c r="B24" s="25" t="s">
        <v>26</v>
      </c>
      <c r="C24" s="25"/>
      <c r="D24" s="25">
        <f>+'CCN ISF'!X37</f>
        <v>0</v>
      </c>
      <c r="E24" s="25"/>
      <c r="F24" s="27"/>
      <c r="G24" s="27"/>
    </row>
    <row r="25" spans="1:7">
      <c r="B25" s="25"/>
      <c r="C25" s="25" t="s">
        <v>316</v>
      </c>
      <c r="D25" s="28"/>
      <c r="E25" s="25"/>
      <c r="F25" s="27">
        <f>SUM(D23:D24)</f>
        <v>0</v>
      </c>
      <c r="G25" s="31"/>
    </row>
    <row r="26" spans="1:7">
      <c r="A26" s="25"/>
      <c r="B26" s="25"/>
      <c r="C26" s="25"/>
      <c r="D26" s="25"/>
      <c r="E26" s="25"/>
      <c r="F26" s="29"/>
      <c r="G26" s="27"/>
    </row>
    <row r="27" spans="1:7">
      <c r="A27" s="155" t="s">
        <v>317</v>
      </c>
      <c r="B27" s="155"/>
      <c r="C27" s="155"/>
      <c r="D27" s="155"/>
      <c r="E27" s="155"/>
      <c r="F27" s="155"/>
      <c r="G27" s="27"/>
    </row>
    <row r="28" spans="1:7">
      <c r="B28" s="27" t="s">
        <v>318</v>
      </c>
      <c r="C28" s="27"/>
      <c r="D28" s="27">
        <f>+F17</f>
        <v>0</v>
      </c>
      <c r="E28" s="27"/>
      <c r="F28" s="25"/>
      <c r="G28" s="27"/>
    </row>
    <row r="29" spans="1:7">
      <c r="B29" s="25"/>
      <c r="C29" s="25"/>
      <c r="D29" s="25">
        <f>+F12-F25</f>
        <v>0</v>
      </c>
      <c r="E29" s="25"/>
      <c r="F29" s="27"/>
      <c r="G29" s="27"/>
    </row>
    <row r="30" spans="1:7" ht="17" thickBot="1">
      <c r="A30" s="63" t="s">
        <v>319</v>
      </c>
      <c r="B30" s="25"/>
      <c r="C30" s="25"/>
      <c r="D30" s="28"/>
      <c r="E30" s="25"/>
      <c r="F30" s="69">
        <f>SUM(D28:D29)</f>
        <v>0</v>
      </c>
      <c r="G30" s="64"/>
    </row>
    <row r="31" spans="1:7" ht="14" thickTop="1">
      <c r="A31" s="25"/>
      <c r="B31" s="25"/>
      <c r="C31" s="25"/>
      <c r="D31" s="25"/>
      <c r="E31" s="25"/>
      <c r="F31" s="27"/>
      <c r="G31" s="31"/>
    </row>
    <row r="32" spans="1:7" ht="16">
      <c r="A32" s="25"/>
      <c r="B32" s="25"/>
      <c r="C32" s="25"/>
      <c r="D32" s="25"/>
      <c r="E32" s="25"/>
      <c r="F32" s="27"/>
      <c r="G32" s="65"/>
    </row>
    <row r="33" spans="6:6">
      <c r="F33" s="27"/>
    </row>
  </sheetData>
  <mergeCells count="7">
    <mergeCell ref="A21:F21"/>
    <mergeCell ref="A6:F6"/>
    <mergeCell ref="A27:F27"/>
    <mergeCell ref="A1:F1"/>
    <mergeCell ref="A2:F2"/>
    <mergeCell ref="A3:F3"/>
    <mergeCell ref="A4:F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F28"/>
  <sheetViews>
    <sheetView workbookViewId="0">
      <selection activeCell="I19" sqref="I19"/>
    </sheetView>
  </sheetViews>
  <sheetFormatPr baseColWidth="10" defaultColWidth="8.5703125" defaultRowHeight="13" x14ac:dyDescent="0"/>
  <cols>
    <col min="1" max="2" width="2.5703125" style="50" customWidth="1"/>
    <col min="3" max="3" width="37.85546875" style="50" customWidth="1"/>
    <col min="4" max="4" width="8.5703125" style="50"/>
    <col min="5" max="5" width="0.85546875" style="50" customWidth="1"/>
    <col min="6" max="16384" width="8.5703125" style="50"/>
  </cols>
  <sheetData>
    <row r="1" spans="1:6">
      <c r="A1" s="157" t="s">
        <v>56</v>
      </c>
      <c r="B1" s="157"/>
      <c r="C1" s="157"/>
      <c r="D1" s="157"/>
      <c r="E1" s="157"/>
      <c r="F1" s="157"/>
    </row>
    <row r="2" spans="1:6">
      <c r="A2" s="157" t="s">
        <v>376</v>
      </c>
      <c r="B2" s="157"/>
      <c r="C2" s="157"/>
      <c r="D2" s="157"/>
      <c r="E2" s="157"/>
      <c r="F2" s="157"/>
    </row>
    <row r="3" spans="1:6">
      <c r="A3" s="157" t="s">
        <v>334</v>
      </c>
      <c r="B3" s="157"/>
      <c r="C3" s="157"/>
      <c r="D3" s="157"/>
      <c r="E3" s="157"/>
      <c r="F3" s="157"/>
    </row>
    <row r="4" spans="1:6">
      <c r="A4" s="157" t="s">
        <v>59</v>
      </c>
      <c r="B4" s="157"/>
      <c r="C4" s="157"/>
      <c r="D4" s="157"/>
      <c r="E4" s="157"/>
      <c r="F4" s="157"/>
    </row>
    <row r="5" spans="1:6">
      <c r="A5" s="60"/>
      <c r="B5" s="60"/>
      <c r="C5" s="60"/>
      <c r="D5" s="60"/>
      <c r="E5" s="60"/>
      <c r="F5" s="60"/>
    </row>
    <row r="6" spans="1:6">
      <c r="A6" s="61" t="s">
        <v>335</v>
      </c>
      <c r="B6" s="61"/>
      <c r="C6" s="61"/>
      <c r="D6" s="61"/>
      <c r="E6" s="61"/>
      <c r="F6" s="60"/>
    </row>
    <row r="7" spans="1:6">
      <c r="B7" s="60" t="s">
        <v>381</v>
      </c>
      <c r="C7" s="60"/>
      <c r="D7" s="26">
        <f>+'CCN OS'!F7+'CCN SCF'!D22</f>
        <v>8000</v>
      </c>
      <c r="E7" s="26"/>
    </row>
    <row r="8" spans="1:6">
      <c r="B8" s="60" t="s">
        <v>337</v>
      </c>
      <c r="C8" s="60"/>
      <c r="D8" s="62">
        <f>-'CCN OS'!D10-'CCN OS'!D11+D25</f>
        <v>0</v>
      </c>
      <c r="E8" s="62"/>
    </row>
    <row r="9" spans="1:6">
      <c r="B9" s="60" t="s">
        <v>338</v>
      </c>
      <c r="C9" s="60"/>
      <c r="D9" s="62">
        <f>-'CCN OS'!D12+D23+D24</f>
        <v>2000</v>
      </c>
      <c r="E9" s="62"/>
    </row>
    <row r="10" spans="1:6">
      <c r="C10" s="70" t="s">
        <v>382</v>
      </c>
      <c r="D10" s="73"/>
      <c r="E10" s="70"/>
      <c r="F10" s="26">
        <f>SUM(D7:D9)</f>
        <v>10000</v>
      </c>
    </row>
    <row r="11" spans="1:6">
      <c r="A11" s="60"/>
      <c r="B11" s="60"/>
      <c r="C11" s="60"/>
      <c r="D11" s="60"/>
      <c r="E11" s="60"/>
      <c r="F11" s="62"/>
    </row>
    <row r="12" spans="1:6">
      <c r="A12" s="60" t="s">
        <v>383</v>
      </c>
      <c r="B12" s="60"/>
      <c r="C12" s="60"/>
      <c r="D12" s="60"/>
      <c r="E12" s="60"/>
      <c r="F12" s="62">
        <f>+'CCN ISF'!C9</f>
        <v>57000</v>
      </c>
    </row>
    <row r="13" spans="1:6" ht="14" thickBot="1">
      <c r="A13" s="60" t="s">
        <v>384</v>
      </c>
      <c r="B13" s="60"/>
      <c r="C13" s="60"/>
      <c r="D13" s="60"/>
      <c r="E13" s="60"/>
      <c r="F13" s="30">
        <f>+F12+F10</f>
        <v>67000</v>
      </c>
    </row>
    <row r="14" spans="1:6" ht="14" thickTop="1">
      <c r="A14" s="60"/>
      <c r="B14" s="60"/>
      <c r="C14" s="60"/>
      <c r="D14" s="60"/>
      <c r="E14" s="60"/>
      <c r="F14" s="60"/>
    </row>
    <row r="15" spans="1:6">
      <c r="A15" s="61" t="s">
        <v>353</v>
      </c>
      <c r="B15" s="61"/>
      <c r="C15" s="61"/>
      <c r="D15" s="61"/>
      <c r="E15" s="61"/>
      <c r="F15" s="60"/>
    </row>
    <row r="16" spans="1:6">
      <c r="A16" s="61" t="s">
        <v>354</v>
      </c>
      <c r="B16" s="61"/>
      <c r="C16" s="61"/>
      <c r="D16" s="61"/>
      <c r="E16" s="61"/>
      <c r="F16" s="60"/>
    </row>
    <row r="17" spans="1:6">
      <c r="A17" s="60" t="s">
        <v>355</v>
      </c>
      <c r="B17" s="60"/>
      <c r="C17" s="60"/>
      <c r="D17" s="60"/>
      <c r="E17" s="60"/>
      <c r="F17" s="75">
        <f>+'CCN OS'!F15</f>
        <v>0</v>
      </c>
    </row>
    <row r="18" spans="1:6">
      <c r="A18" s="60" t="s">
        <v>356</v>
      </c>
      <c r="B18" s="60"/>
      <c r="C18" s="60"/>
      <c r="D18" s="60"/>
      <c r="E18" s="60"/>
      <c r="F18" s="60"/>
    </row>
    <row r="19" spans="1:6">
      <c r="B19" s="60" t="s">
        <v>357</v>
      </c>
      <c r="C19" s="60"/>
      <c r="D19" s="60"/>
      <c r="E19" s="60"/>
      <c r="F19" s="60"/>
    </row>
    <row r="20" spans="1:6">
      <c r="A20" s="60" t="s">
        <v>281</v>
      </c>
      <c r="B20" s="60"/>
      <c r="C20" s="60"/>
      <c r="D20" s="25">
        <f>+'CCN OS'!D13</f>
        <v>0</v>
      </c>
      <c r="E20" s="25"/>
      <c r="F20" s="62"/>
    </row>
    <row r="21" spans="1:6">
      <c r="A21" s="60" t="s">
        <v>358</v>
      </c>
      <c r="B21" s="60"/>
      <c r="C21" s="60"/>
      <c r="D21" s="60"/>
      <c r="E21" s="60"/>
      <c r="F21" s="62"/>
    </row>
    <row r="22" spans="1:6">
      <c r="B22" s="60" t="s">
        <v>360</v>
      </c>
      <c r="C22" s="60"/>
      <c r="D22" s="25">
        <f>+'CCN ISF'!C12-'CCN ISF'!V12+'CCN ISF'!C28-'CCN ISF'!V28</f>
        <v>8000</v>
      </c>
      <c r="E22" s="25"/>
      <c r="F22" s="62"/>
    </row>
    <row r="23" spans="1:6">
      <c r="B23" s="60" t="s">
        <v>361</v>
      </c>
      <c r="C23" s="60"/>
      <c r="D23" s="25">
        <f>+'CCN ISF'!C14-'CCN ISF'!V14</f>
        <v>5800</v>
      </c>
      <c r="E23" s="25"/>
      <c r="F23" s="62"/>
    </row>
    <row r="24" spans="1:6">
      <c r="B24" s="60" t="s">
        <v>362</v>
      </c>
      <c r="C24" s="60"/>
      <c r="D24" s="25">
        <f>+'CCN ISF'!X20-'CCN ISF'!E20</f>
        <v>-3800</v>
      </c>
      <c r="E24" s="25"/>
      <c r="F24" s="62"/>
    </row>
    <row r="25" spans="1:6">
      <c r="B25" s="60" t="s">
        <v>363</v>
      </c>
      <c r="C25" s="60"/>
      <c r="D25" s="25">
        <f>+'CCN ISF'!X37-'CCN ISF'!E37</f>
        <v>0</v>
      </c>
      <c r="E25" s="25"/>
      <c r="F25" s="62">
        <f>SUM(D20:D25)</f>
        <v>10000</v>
      </c>
    </row>
    <row r="26" spans="1:6">
      <c r="A26" s="60"/>
      <c r="B26" s="60"/>
      <c r="C26" s="60"/>
      <c r="D26" s="98"/>
      <c r="E26" s="60"/>
      <c r="F26" s="74"/>
    </row>
    <row r="27" spans="1:6" ht="14" thickBot="1">
      <c r="A27" s="70" t="s">
        <v>382</v>
      </c>
      <c r="B27" s="70"/>
      <c r="C27" s="70"/>
      <c r="D27" s="70"/>
      <c r="E27" s="70"/>
      <c r="F27" s="69">
        <f>+F25+F17</f>
        <v>10000</v>
      </c>
    </row>
    <row r="28" spans="1:6" ht="14" thickTop="1"/>
  </sheetData>
  <mergeCells count="4">
    <mergeCell ref="A1:F1"/>
    <mergeCell ref="A2:F2"/>
    <mergeCell ref="A3:F3"/>
    <mergeCell ref="A4:F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X47"/>
  <sheetViews>
    <sheetView workbookViewId="0">
      <pane xSplit="2" ySplit="8" topLeftCell="C33" activePane="bottomRight" state="frozen"/>
      <selection pane="topRight" activeCell="C1" sqref="C1"/>
      <selection pane="bottomLeft" activeCell="A9" sqref="A9"/>
      <selection pane="bottomRight" activeCell="A3" sqref="A3:X3"/>
    </sheetView>
  </sheetViews>
  <sheetFormatPr baseColWidth="10" defaultColWidth="9.5703125" defaultRowHeight="13" x14ac:dyDescent="0"/>
  <cols>
    <col min="1" max="1" width="2.5703125" style="3" customWidth="1"/>
    <col min="2" max="2" width="35.5703125" style="3" customWidth="1"/>
    <col min="3" max="3" width="9.5703125" style="3" customWidth="1"/>
    <col min="4" max="4" width="1.5703125" style="3" customWidth="1"/>
    <col min="5" max="5" width="9.5703125" style="4" customWidth="1"/>
    <col min="6" max="6" width="1.5703125" style="4" customWidth="1"/>
    <col min="7" max="7" width="4.5703125" style="4" customWidth="1"/>
    <col min="8" max="8" width="9.5703125" style="4" customWidth="1"/>
    <col min="9" max="9" width="1.5703125" style="4" customWidth="1"/>
    <col min="10" max="10" width="9.5703125" style="4" customWidth="1"/>
    <col min="11" max="11" width="4.5703125" style="4" customWidth="1"/>
    <col min="12" max="12" width="1.5703125" style="4" customWidth="1"/>
    <col min="13" max="13" width="9.5703125" style="4" hidden="1" customWidth="1"/>
    <col min="14" max="14" width="9.5703125" style="4" customWidth="1"/>
    <col min="15" max="15" width="1.5703125" style="4" customWidth="1"/>
    <col min="16" max="16" width="9.5703125" style="4" customWidth="1"/>
    <col min="17" max="17" width="1.5703125" style="4" customWidth="1"/>
    <col min="18" max="18" width="9.5703125" style="4" customWidth="1"/>
    <col min="19" max="19" width="2.5703125" style="3" customWidth="1"/>
    <col min="20" max="20" width="9.5703125" style="3" customWidth="1"/>
    <col min="21" max="21" width="1.5703125" style="3" customWidth="1"/>
    <col min="22" max="22" width="9.5703125" style="3" customWidth="1"/>
    <col min="23" max="23" width="2.5703125" style="3" customWidth="1"/>
    <col min="24" max="24" width="9.5703125" style="3" customWidth="1"/>
    <col min="25" max="16384" width="9.5703125" style="3"/>
  </cols>
  <sheetData>
    <row r="1" spans="1:24">
      <c r="A1" s="152" t="s">
        <v>0</v>
      </c>
      <c r="B1" s="152"/>
      <c r="C1" s="152"/>
      <c r="D1" s="152"/>
      <c r="E1" s="152"/>
      <c r="F1" s="152"/>
      <c r="G1" s="152"/>
      <c r="H1" s="152"/>
      <c r="I1" s="152"/>
      <c r="J1" s="152"/>
      <c r="K1" s="152"/>
      <c r="L1" s="152"/>
      <c r="M1" s="152"/>
      <c r="N1" s="152"/>
      <c r="O1" s="152"/>
      <c r="P1" s="152"/>
      <c r="Q1" s="152"/>
      <c r="R1" s="152"/>
      <c r="S1" s="152"/>
      <c r="T1" s="152"/>
      <c r="U1" s="152"/>
      <c r="V1" s="152"/>
      <c r="W1" s="152"/>
      <c r="X1" s="152"/>
    </row>
    <row r="2" spans="1:24">
      <c r="A2" s="152" t="s">
        <v>385</v>
      </c>
      <c r="B2" s="152"/>
      <c r="C2" s="152"/>
      <c r="D2" s="152"/>
      <c r="E2" s="152"/>
      <c r="F2" s="152"/>
      <c r="G2" s="152"/>
      <c r="H2" s="152"/>
      <c r="I2" s="152"/>
      <c r="J2" s="152"/>
      <c r="K2" s="152"/>
      <c r="L2" s="152"/>
      <c r="M2" s="152"/>
      <c r="N2" s="152"/>
      <c r="O2" s="152"/>
      <c r="P2" s="152"/>
      <c r="Q2" s="152"/>
      <c r="R2" s="152"/>
      <c r="S2" s="152"/>
      <c r="T2" s="152"/>
      <c r="U2" s="152"/>
      <c r="V2" s="152"/>
      <c r="W2" s="152"/>
      <c r="X2" s="152"/>
    </row>
    <row r="3" spans="1:24">
      <c r="A3" s="152" t="s">
        <v>2</v>
      </c>
      <c r="B3" s="152"/>
      <c r="C3" s="152"/>
      <c r="D3" s="152"/>
      <c r="E3" s="152"/>
      <c r="F3" s="152"/>
      <c r="G3" s="152"/>
      <c r="H3" s="152"/>
      <c r="I3" s="152"/>
      <c r="J3" s="152"/>
      <c r="K3" s="152"/>
      <c r="L3" s="152"/>
      <c r="M3" s="152"/>
      <c r="N3" s="152"/>
      <c r="O3" s="152"/>
      <c r="P3" s="152"/>
      <c r="Q3" s="152"/>
      <c r="R3" s="152"/>
      <c r="S3" s="152"/>
      <c r="T3" s="152"/>
      <c r="U3" s="152"/>
      <c r="V3" s="152"/>
      <c r="W3" s="152"/>
      <c r="X3" s="152"/>
    </row>
    <row r="4" spans="1:24">
      <c r="B4" s="3" t="s">
        <v>3</v>
      </c>
      <c r="C4" s="3">
        <f>IF(C44&gt;E44,0,+E44-C44)</f>
        <v>0</v>
      </c>
      <c r="E4" s="3">
        <f>IF(E44&gt;C44,0,+C44-E44)</f>
        <v>0</v>
      </c>
      <c r="F4" s="3"/>
      <c r="G4" s="3"/>
      <c r="H4" s="3">
        <f>IF(H44&gt;J44,0,+J44-H44)</f>
        <v>0</v>
      </c>
      <c r="I4" s="3"/>
      <c r="J4" s="3">
        <f>IF(J44&gt;H44,0,+H44-J44)</f>
        <v>0</v>
      </c>
      <c r="K4" s="3"/>
      <c r="L4" s="3"/>
      <c r="M4" s="3"/>
      <c r="N4" s="3">
        <f>IF(N44&gt;P44,0,+P44-N44)</f>
        <v>0</v>
      </c>
      <c r="O4" s="3"/>
      <c r="P4" s="3">
        <f>IF(P44&gt;N44,0,+N44-P44)</f>
        <v>0</v>
      </c>
      <c r="Q4" s="3"/>
      <c r="R4" s="3">
        <f>IF(R46&gt;T46,0,+T46-R46)</f>
        <v>0</v>
      </c>
      <c r="T4" s="3">
        <f>IF(T46&gt;R46,0,+R46-T46)</f>
        <v>0</v>
      </c>
      <c r="V4" s="3">
        <f>IF(V46&gt;X46,0,+X46-V46)</f>
        <v>0</v>
      </c>
      <c r="X4" s="3">
        <f>IF(X46&gt;V46,0,+V46-X46)</f>
        <v>0</v>
      </c>
    </row>
    <row r="5" spans="1:24" ht="5" customHeight="1"/>
    <row r="6" spans="1:24">
      <c r="C6" s="1" t="s">
        <v>4</v>
      </c>
      <c r="D6" s="1"/>
      <c r="E6" s="2"/>
      <c r="N6" s="2" t="s">
        <v>4</v>
      </c>
      <c r="O6" s="2"/>
      <c r="P6" s="2"/>
      <c r="V6" s="1"/>
      <c r="W6" s="1"/>
      <c r="X6" s="1"/>
    </row>
    <row r="7" spans="1:24" ht="15.75" customHeight="1">
      <c r="C7" s="1" t="s">
        <v>5</v>
      </c>
      <c r="D7" s="1"/>
      <c r="E7" s="2"/>
      <c r="F7" s="151" t="s">
        <v>6</v>
      </c>
      <c r="G7" s="151"/>
      <c r="H7" s="151"/>
      <c r="I7" s="151"/>
      <c r="J7" s="151"/>
      <c r="K7" s="151"/>
      <c r="L7" s="151"/>
      <c r="N7" s="2" t="s">
        <v>7</v>
      </c>
      <c r="O7" s="2"/>
      <c r="P7" s="2"/>
      <c r="R7" s="2" t="s">
        <v>8</v>
      </c>
      <c r="S7" s="1"/>
      <c r="T7" s="1"/>
      <c r="V7" s="1" t="s">
        <v>9</v>
      </c>
      <c r="W7" s="1"/>
      <c r="X7" s="1"/>
    </row>
    <row r="8" spans="1:24">
      <c r="A8" s="5"/>
      <c r="B8" s="142" t="s">
        <v>10</v>
      </c>
      <c r="C8" s="6" t="s">
        <v>11</v>
      </c>
      <c r="D8" s="7"/>
      <c r="E8" s="8" t="s">
        <v>12</v>
      </c>
      <c r="G8" s="8" t="s">
        <v>13</v>
      </c>
      <c r="H8" s="9" t="s">
        <v>11</v>
      </c>
      <c r="I8" s="10"/>
      <c r="J8" s="8" t="s">
        <v>12</v>
      </c>
      <c r="K8" s="8" t="s">
        <v>13</v>
      </c>
      <c r="N8" s="8" t="s">
        <v>11</v>
      </c>
      <c r="O8" s="10"/>
      <c r="P8" s="8" t="s">
        <v>12</v>
      </c>
      <c r="R8" s="8" t="s">
        <v>11</v>
      </c>
      <c r="S8" s="7">
        <v>2</v>
      </c>
      <c r="T8" s="11" t="s">
        <v>12</v>
      </c>
      <c r="V8" s="6" t="s">
        <v>11</v>
      </c>
      <c r="W8" s="7">
        <v>1</v>
      </c>
      <c r="X8" s="6" t="s">
        <v>12</v>
      </c>
    </row>
    <row r="9" spans="1:24">
      <c r="A9" s="3">
        <v>1</v>
      </c>
      <c r="B9" s="3" t="s">
        <v>14</v>
      </c>
      <c r="C9" s="7">
        <v>120000</v>
      </c>
      <c r="E9" s="10"/>
      <c r="G9" s="8">
        <v>1</v>
      </c>
      <c r="H9" s="10">
        <v>60200</v>
      </c>
      <c r="I9" s="141"/>
      <c r="J9" s="10">
        <v>60200</v>
      </c>
      <c r="K9" s="8">
        <v>2</v>
      </c>
      <c r="M9" s="4">
        <f>C9-E9+SUM(H9:H13)-SUM(J9:J13)</f>
        <v>92900</v>
      </c>
      <c r="N9" s="10">
        <f>IF(M9&gt;0,+M9,0)</f>
        <v>92900</v>
      </c>
      <c r="P9" s="10">
        <f>IF(M9&lt;0,-M9,0)</f>
        <v>0</v>
      </c>
      <c r="R9" s="10">
        <f>IF($A9=$S$8,+N9,0)</f>
        <v>0</v>
      </c>
      <c r="T9" s="7">
        <f>IF($A9=$S$8,+P9,0)</f>
        <v>0</v>
      </c>
      <c r="V9" s="7">
        <f>IF($A9=$W$8,+N9,0)</f>
        <v>92900</v>
      </c>
      <c r="X9" s="7">
        <f>IF($A9=$W$8,+P9,0)</f>
        <v>0</v>
      </c>
    </row>
    <row r="10" spans="1:24">
      <c r="C10" s="146"/>
      <c r="E10" s="16"/>
      <c r="G10" s="19">
        <v>6</v>
      </c>
      <c r="H10" s="16">
        <f>60000+8600</f>
        <v>68600</v>
      </c>
      <c r="I10" s="141"/>
      <c r="J10" s="16">
        <v>9000</v>
      </c>
      <c r="K10" s="19">
        <v>3</v>
      </c>
      <c r="N10" s="16"/>
      <c r="P10" s="16"/>
      <c r="R10" s="16"/>
      <c r="T10" s="146"/>
      <c r="V10" s="146"/>
      <c r="X10" s="146"/>
    </row>
    <row r="11" spans="1:24">
      <c r="C11" s="146"/>
      <c r="E11" s="16"/>
      <c r="G11" s="19"/>
      <c r="H11" s="16"/>
      <c r="I11" s="141"/>
      <c r="J11" s="16">
        <v>8700</v>
      </c>
      <c r="K11" s="19">
        <v>4</v>
      </c>
      <c r="N11" s="16"/>
      <c r="P11" s="16"/>
      <c r="R11" s="16"/>
      <c r="T11" s="146"/>
      <c r="V11" s="146"/>
      <c r="X11" s="146"/>
    </row>
    <row r="12" spans="1:24">
      <c r="C12" s="146"/>
      <c r="E12" s="16"/>
      <c r="G12" s="19"/>
      <c r="H12" s="16"/>
      <c r="I12" s="141"/>
      <c r="J12" s="16">
        <v>78000</v>
      </c>
      <c r="K12" s="19">
        <v>5</v>
      </c>
      <c r="N12" s="16"/>
      <c r="P12" s="16"/>
      <c r="R12" s="16"/>
      <c r="T12" s="146"/>
      <c r="V12" s="146"/>
      <c r="X12" s="146"/>
    </row>
    <row r="13" spans="1:24" ht="5" customHeight="1">
      <c r="B13" s="23"/>
      <c r="C13" s="23"/>
      <c r="D13" s="23"/>
      <c r="E13" s="18"/>
      <c r="G13" s="141"/>
      <c r="I13" s="141"/>
      <c r="K13" s="141"/>
    </row>
    <row r="14" spans="1:24">
      <c r="A14" s="3">
        <v>1</v>
      </c>
      <c r="B14" s="3" t="s">
        <v>16</v>
      </c>
      <c r="C14" s="3">
        <v>1271800</v>
      </c>
      <c r="G14" s="141">
        <v>2</v>
      </c>
      <c r="H14" s="4">
        <v>60200</v>
      </c>
      <c r="I14" s="141"/>
      <c r="K14" s="141"/>
      <c r="M14" s="4">
        <f>C14-E14+SUM(H14:H16)-SUM(J14:J16)</f>
        <v>1397000</v>
      </c>
      <c r="N14" s="4">
        <f>IF(M14&gt;0,+M14,0)</f>
        <v>1397000</v>
      </c>
      <c r="P14" s="4">
        <f>IF(M14&lt;0,-M14,0)</f>
        <v>0</v>
      </c>
      <c r="R14" s="4">
        <f>IF($A14=$S$8,+N14,0)</f>
        <v>0</v>
      </c>
      <c r="T14" s="3">
        <f>IF($A14=$S$8,+P14,0)</f>
        <v>0</v>
      </c>
      <c r="V14" s="3">
        <f>IF($A14=$W$8,+N14,0)</f>
        <v>1397000</v>
      </c>
      <c r="X14" s="3">
        <f>IF($A14=$W$8,+P14,0)</f>
        <v>0</v>
      </c>
    </row>
    <row r="15" spans="1:24">
      <c r="G15" s="141">
        <v>7</v>
      </c>
      <c r="H15" s="4">
        <v>65000</v>
      </c>
      <c r="I15" s="141"/>
      <c r="K15" s="141"/>
    </row>
    <row r="16" spans="1:24" ht="5" customHeight="1">
      <c r="B16" s="23"/>
      <c r="C16" s="23"/>
      <c r="D16" s="23"/>
      <c r="E16" s="18"/>
      <c r="G16" s="141"/>
      <c r="I16" s="141"/>
      <c r="K16" s="141"/>
    </row>
    <row r="17" spans="1:24">
      <c r="A17" s="3">
        <v>1</v>
      </c>
      <c r="B17" s="3" t="s">
        <v>23</v>
      </c>
      <c r="C17" s="3">
        <v>8600</v>
      </c>
      <c r="G17" s="141">
        <v>7</v>
      </c>
      <c r="H17" s="4">
        <v>17000</v>
      </c>
      <c r="I17" s="141"/>
      <c r="J17" s="4">
        <v>8600</v>
      </c>
      <c r="K17" s="141">
        <v>6</v>
      </c>
      <c r="M17" s="4">
        <f>C17-E17+SUM(H17:H18)-SUM(J17:J18)</f>
        <v>17000</v>
      </c>
      <c r="N17" s="4">
        <f>IF(M17&gt;0,+M17,0)</f>
        <v>17000</v>
      </c>
      <c r="P17" s="4">
        <f>IF(M17&lt;0,-M17,0)</f>
        <v>0</v>
      </c>
      <c r="R17" s="4">
        <f>IF($A17=$S$8,+N17,0)</f>
        <v>0</v>
      </c>
      <c r="T17" s="3">
        <f>IF($A17=$S$8,+P17,0)</f>
        <v>0</v>
      </c>
      <c r="V17" s="3">
        <f>IF($A17=$W$8,+N17,0)</f>
        <v>17000</v>
      </c>
      <c r="X17" s="3">
        <f>IF($A17=$W$8,+P17,0)</f>
        <v>0</v>
      </c>
    </row>
    <row r="18" spans="1:24" ht="5" customHeight="1">
      <c r="B18" s="23"/>
      <c r="C18" s="23"/>
      <c r="D18" s="23"/>
      <c r="E18" s="18"/>
      <c r="G18" s="141"/>
      <c r="I18" s="141"/>
      <c r="K18" s="141"/>
    </row>
    <row r="19" spans="1:24">
      <c r="A19" s="3">
        <v>1</v>
      </c>
      <c r="B19" s="3" t="s">
        <v>386</v>
      </c>
      <c r="E19" s="4">
        <v>400</v>
      </c>
      <c r="G19" s="141">
        <v>3</v>
      </c>
      <c r="H19" s="4">
        <v>400</v>
      </c>
      <c r="I19" s="141"/>
      <c r="K19" s="141"/>
      <c r="M19" s="4">
        <f>C19-E19+SUM(H19:H20)-SUM(J19:J20)</f>
        <v>0</v>
      </c>
      <c r="N19" s="4">
        <f>IF(M19&gt;0,+M19,0)</f>
        <v>0</v>
      </c>
      <c r="P19" s="4">
        <f>IF(M19&lt;0,-M19,0)</f>
        <v>0</v>
      </c>
      <c r="R19" s="4">
        <f>IF($A19=$S$8,+N19,0)</f>
        <v>0</v>
      </c>
      <c r="T19" s="3">
        <f>IF($A19=$S$8,+P19,0)</f>
        <v>0</v>
      </c>
      <c r="V19" s="3">
        <f>IF($A19=$W$8,+N19,0)</f>
        <v>0</v>
      </c>
      <c r="X19" s="3">
        <f>IF($A19=$W$8,+P19,0)</f>
        <v>0</v>
      </c>
    </row>
    <row r="20" spans="1:24" ht="5" customHeight="1">
      <c r="B20" s="23"/>
      <c r="C20" s="23"/>
      <c r="D20" s="23"/>
      <c r="E20" s="18"/>
      <c r="G20" s="141"/>
      <c r="I20" s="141"/>
      <c r="K20" s="141"/>
    </row>
    <row r="21" spans="1:24">
      <c r="A21" s="3">
        <v>1</v>
      </c>
      <c r="B21" s="3" t="s">
        <v>387</v>
      </c>
      <c r="E21" s="4">
        <v>1400000</v>
      </c>
      <c r="G21" s="141"/>
      <c r="I21" s="141"/>
      <c r="K21" s="141"/>
      <c r="M21" s="4">
        <f>C21-E21+SUM(H21:H22)-SUM(J21:J22)</f>
        <v>-1400000</v>
      </c>
      <c r="N21" s="4">
        <f>IF(M21&gt;0,+M21,0)</f>
        <v>0</v>
      </c>
      <c r="P21" s="4">
        <f>IF(M21&lt;0,-M21,0)</f>
        <v>1400000</v>
      </c>
      <c r="R21" s="4">
        <f>IF($A21=$S$8,+N21,0)</f>
        <v>0</v>
      </c>
      <c r="T21" s="3">
        <f>IF($A21=$S$8,+P21,0)</f>
        <v>0</v>
      </c>
      <c r="V21" s="3">
        <f>IF($A21=$W$8,+N21,0)</f>
        <v>0</v>
      </c>
      <c r="X21" s="3">
        <f>IF($A21=$W$8,+P21,0)</f>
        <v>1400000</v>
      </c>
    </row>
    <row r="22" spans="1:24" ht="5" customHeight="1">
      <c r="B22" s="23"/>
      <c r="C22" s="23"/>
      <c r="D22" s="23"/>
      <c r="E22" s="18"/>
      <c r="G22" s="141"/>
      <c r="I22" s="141"/>
      <c r="K22" s="141"/>
    </row>
    <row r="23" spans="1:24">
      <c r="A23" s="3">
        <v>2</v>
      </c>
      <c r="B23" s="3" t="s">
        <v>388</v>
      </c>
      <c r="G23" s="141"/>
      <c r="I23" s="141"/>
      <c r="J23" s="4">
        <v>60200</v>
      </c>
      <c r="K23" s="141">
        <v>1</v>
      </c>
      <c r="M23" s="4">
        <f>C23-E23+SUM(H23:H24)-SUM(J23:J24)</f>
        <v>-60200</v>
      </c>
      <c r="N23" s="4">
        <f>IF(M23&gt;0,+M23,0)</f>
        <v>0</v>
      </c>
      <c r="P23" s="4">
        <f>IF(M23&lt;0,-M23,0)</f>
        <v>60200</v>
      </c>
      <c r="R23" s="4">
        <f>IF($A23=$S$8,+N23,0)</f>
        <v>0</v>
      </c>
      <c r="T23" s="3">
        <f>IF($A23=$S$8,+P23,0)</f>
        <v>60200</v>
      </c>
      <c r="V23" s="3">
        <f>IF($A23=$W$8,+N23,0)</f>
        <v>0</v>
      </c>
      <c r="X23" s="3">
        <f>IF($A23=$W$8,+P23,0)</f>
        <v>0</v>
      </c>
    </row>
    <row r="24" spans="1:24" ht="5" customHeight="1">
      <c r="B24" s="23"/>
      <c r="C24" s="23"/>
      <c r="D24" s="23"/>
      <c r="E24" s="18"/>
      <c r="G24" s="141"/>
      <c r="I24" s="141"/>
      <c r="K24" s="141"/>
    </row>
    <row r="25" spans="1:24">
      <c r="A25" s="3">
        <v>2</v>
      </c>
      <c r="B25" s="3" t="s">
        <v>389</v>
      </c>
      <c r="G25" s="141">
        <v>2</v>
      </c>
      <c r="H25" s="4">
        <v>8600</v>
      </c>
      <c r="I25" s="141"/>
      <c r="K25" s="141"/>
      <c r="M25" s="4">
        <f>C25-E25+SUM(H25:H26)-SUM(J25:J26)</f>
        <v>8600</v>
      </c>
      <c r="N25" s="4">
        <f>IF(M25&gt;0,+M25,0)</f>
        <v>8600</v>
      </c>
      <c r="P25" s="4">
        <f>IF(M25&lt;0,-M25,0)</f>
        <v>0</v>
      </c>
      <c r="R25" s="4">
        <f>IF($A25=$S$8,+N25,0)</f>
        <v>8600</v>
      </c>
      <c r="T25" s="3">
        <f>IF($A25=$S$8,+P25,0)</f>
        <v>0</v>
      </c>
      <c r="V25" s="3">
        <f>IF($A25=$W$8,+N25,0)</f>
        <v>0</v>
      </c>
      <c r="X25" s="3">
        <f>IF($A25=$W$8,+P25,0)</f>
        <v>0</v>
      </c>
    </row>
    <row r="26" spans="1:24" ht="5" customHeight="1">
      <c r="B26" s="23"/>
      <c r="C26" s="23"/>
      <c r="D26" s="23"/>
      <c r="E26" s="18"/>
      <c r="G26" s="141"/>
      <c r="I26" s="141"/>
      <c r="K26" s="141"/>
    </row>
    <row r="27" spans="1:24">
      <c r="A27" s="3">
        <v>2</v>
      </c>
      <c r="B27" s="3" t="s">
        <v>390</v>
      </c>
      <c r="G27" s="141">
        <v>4</v>
      </c>
      <c r="H27" s="4">
        <v>9400</v>
      </c>
      <c r="I27" s="141"/>
      <c r="K27" s="141"/>
      <c r="M27" s="4">
        <f>C27-E27+SUM(H27:H28)-SUM(J27:J28)</f>
        <v>9400</v>
      </c>
      <c r="N27" s="4">
        <f>IF(M27&gt;0,+M27,0)</f>
        <v>9400</v>
      </c>
      <c r="P27" s="4">
        <f>IF(M27&lt;0,-M27,0)</f>
        <v>0</v>
      </c>
      <c r="R27" s="4">
        <f>IF($A27=$S$8,+N27,0)</f>
        <v>9400</v>
      </c>
      <c r="T27" s="3">
        <f>IF($A27=$S$8,+P27,0)</f>
        <v>0</v>
      </c>
      <c r="V27" s="3">
        <f>IF($A27=$W$8,+N27,0)</f>
        <v>0</v>
      </c>
      <c r="X27" s="3">
        <f>IF($A27=$W$8,+P27,0)</f>
        <v>0</v>
      </c>
    </row>
    <row r="28" spans="1:24" ht="5" customHeight="1">
      <c r="B28" s="23"/>
      <c r="C28" s="23"/>
      <c r="D28" s="23"/>
      <c r="E28" s="18"/>
      <c r="G28" s="141"/>
      <c r="I28" s="141"/>
      <c r="K28" s="141"/>
    </row>
    <row r="29" spans="1:24">
      <c r="A29" s="3">
        <v>1</v>
      </c>
      <c r="B29" s="3" t="s">
        <v>25</v>
      </c>
      <c r="G29" s="141"/>
      <c r="I29" s="141"/>
      <c r="J29" s="4">
        <v>700</v>
      </c>
      <c r="K29" s="141">
        <v>4</v>
      </c>
      <c r="M29" s="4">
        <f>C29-E29+SUM(H29:H30)-SUM(J29:J30)</f>
        <v>-700</v>
      </c>
      <c r="N29" s="4">
        <f>IF(M29&gt;0,+M29,0)</f>
        <v>0</v>
      </c>
      <c r="P29" s="4">
        <f>IF(M29&lt;0,-M29,0)</f>
        <v>700</v>
      </c>
      <c r="R29" s="4">
        <f>IF($A29=$S$8,+N29,0)</f>
        <v>0</v>
      </c>
      <c r="T29" s="3">
        <f>IF($A29=$S$8,+P29,0)</f>
        <v>0</v>
      </c>
      <c r="V29" s="3">
        <f>IF($A29=$W$8,+N29,0)</f>
        <v>0</v>
      </c>
      <c r="X29" s="3">
        <f>IF($A29=$W$8,+P29,0)</f>
        <v>700</v>
      </c>
    </row>
    <row r="30" spans="1:24" ht="5" customHeight="1">
      <c r="B30" s="23"/>
      <c r="C30" s="23"/>
      <c r="D30" s="23"/>
      <c r="E30" s="18"/>
      <c r="G30" s="141"/>
      <c r="I30" s="141"/>
      <c r="K30" s="141"/>
    </row>
    <row r="31" spans="1:24">
      <c r="A31" s="3">
        <v>2</v>
      </c>
      <c r="B31" s="3" t="s">
        <v>391</v>
      </c>
      <c r="G31" s="141">
        <v>5</v>
      </c>
      <c r="H31" s="4">
        <f>78000+1000</f>
        <v>79000</v>
      </c>
      <c r="I31" s="141"/>
      <c r="K31" s="141"/>
      <c r="M31" s="4">
        <f>C31-E31+SUM(H31:H32)-SUM(J31:J32)</f>
        <v>79000</v>
      </c>
      <c r="N31" s="4">
        <f>IF(M31&gt;0,+M31,0)</f>
        <v>79000</v>
      </c>
      <c r="P31" s="4">
        <f>IF(M31&lt;0,-M31,0)</f>
        <v>0</v>
      </c>
      <c r="R31" s="4">
        <f>IF($A31=$S$8,+N31,0)</f>
        <v>79000</v>
      </c>
      <c r="T31" s="3">
        <f>IF($A31=$S$8,+P31,0)</f>
        <v>0</v>
      </c>
      <c r="V31" s="3">
        <f>IF($A31=$W$8,+N31,0)</f>
        <v>0</v>
      </c>
      <c r="X31" s="3">
        <f>IF($A31=$W$8,+P31,0)</f>
        <v>0</v>
      </c>
    </row>
    <row r="32" spans="1:24" ht="5" customHeight="1">
      <c r="B32" s="23"/>
      <c r="C32" s="23"/>
      <c r="D32" s="23"/>
      <c r="E32" s="18"/>
      <c r="G32" s="141"/>
      <c r="I32" s="141"/>
      <c r="K32" s="141"/>
    </row>
    <row r="33" spans="1:24">
      <c r="A33" s="3">
        <v>1</v>
      </c>
      <c r="B33" s="3" t="s">
        <v>392</v>
      </c>
      <c r="G33" s="141"/>
      <c r="I33" s="141"/>
      <c r="J33" s="4">
        <v>1000</v>
      </c>
      <c r="K33" s="141">
        <v>5</v>
      </c>
      <c r="M33" s="4">
        <f>C33-E33+SUM(H33:H34)-SUM(J33:J34)</f>
        <v>-1000</v>
      </c>
      <c r="N33" s="4">
        <f>IF(M33&gt;0,+M33,0)</f>
        <v>0</v>
      </c>
      <c r="P33" s="4">
        <f>IF(M33&lt;0,-M33,0)</f>
        <v>1000</v>
      </c>
      <c r="R33" s="4">
        <f>IF($A33=$S$8,+N33,0)</f>
        <v>0</v>
      </c>
      <c r="T33" s="3">
        <f>IF($A33=$S$8,+P33,0)</f>
        <v>0</v>
      </c>
      <c r="V33" s="3">
        <f>IF($A33=$W$8,+N33,0)</f>
        <v>0</v>
      </c>
      <c r="X33" s="3">
        <f>IF($A33=$W$8,+P33,0)</f>
        <v>1000</v>
      </c>
    </row>
    <row r="34" spans="1:24" ht="5" customHeight="1">
      <c r="B34" s="23"/>
      <c r="C34" s="23"/>
      <c r="D34" s="23"/>
      <c r="E34" s="18"/>
      <c r="G34" s="141"/>
      <c r="I34" s="141"/>
      <c r="K34" s="141"/>
    </row>
    <row r="35" spans="1:24">
      <c r="A35" s="3">
        <v>2</v>
      </c>
      <c r="B35" s="3" t="s">
        <v>393</v>
      </c>
      <c r="G35" s="141"/>
      <c r="I35" s="141"/>
      <c r="J35" s="4">
        <v>60000</v>
      </c>
      <c r="K35" s="141">
        <v>6</v>
      </c>
      <c r="M35" s="4">
        <f>C35-E35+SUM(H35:H37)-SUM(J35:J37)</f>
        <v>-125000</v>
      </c>
      <c r="N35" s="4">
        <f>IF(M35&gt;0,+M35,0)</f>
        <v>0</v>
      </c>
      <c r="P35" s="4">
        <f>IF(M35&lt;0,-M35,0)</f>
        <v>125000</v>
      </c>
      <c r="R35" s="4">
        <f>IF($A35=$S$8,+N35,0)</f>
        <v>0</v>
      </c>
      <c r="T35" s="3">
        <f>IF($A35=$S$8,+P35,0)</f>
        <v>125000</v>
      </c>
      <c r="V35" s="3">
        <f>IF($A35=$W$8,+N35,0)</f>
        <v>0</v>
      </c>
      <c r="X35" s="3">
        <f>IF($A35=$W$8,+P35,0)</f>
        <v>0</v>
      </c>
    </row>
    <row r="36" spans="1:24">
      <c r="G36" s="141"/>
      <c r="I36" s="141"/>
      <c r="J36" s="4">
        <v>65000</v>
      </c>
      <c r="K36" s="141">
        <v>7</v>
      </c>
    </row>
    <row r="37" spans="1:24" ht="5" customHeight="1">
      <c r="B37" s="23"/>
      <c r="C37" s="23"/>
      <c r="D37" s="23"/>
      <c r="E37" s="18"/>
      <c r="G37" s="141"/>
      <c r="I37" s="141"/>
      <c r="K37" s="141"/>
    </row>
    <row r="38" spans="1:24">
      <c r="A38" s="3">
        <v>2</v>
      </c>
      <c r="B38" s="3" t="s">
        <v>394</v>
      </c>
      <c r="G38" s="141"/>
      <c r="I38" s="141"/>
      <c r="J38" s="4">
        <v>17000</v>
      </c>
      <c r="K38" s="141">
        <v>7</v>
      </c>
      <c r="M38" s="4">
        <f>C38-E38+SUM(H38:H39)-SUM(J38:J39)</f>
        <v>-17000</v>
      </c>
      <c r="N38" s="4">
        <f>IF(M38&gt;0,+M38,0)</f>
        <v>0</v>
      </c>
      <c r="P38" s="4">
        <f>IF(M38&lt;0,-M38,0)</f>
        <v>17000</v>
      </c>
      <c r="R38" s="4">
        <f>IF($A38=$S$8,+N38,0)</f>
        <v>0</v>
      </c>
      <c r="T38" s="3">
        <f>IF($A38=$S$8,+P38,0)</f>
        <v>17000</v>
      </c>
      <c r="V38" s="3">
        <f>IF($A38=$W$8,+N38,0)</f>
        <v>0</v>
      </c>
      <c r="X38" s="3">
        <f>IF($A38=$W$8,+P38,0)</f>
        <v>0</v>
      </c>
    </row>
    <row r="39" spans="1:24" ht="5" customHeight="1">
      <c r="B39" s="23"/>
      <c r="C39" s="23"/>
      <c r="D39" s="23"/>
      <c r="E39" s="18"/>
      <c r="G39" s="141"/>
      <c r="I39" s="141"/>
      <c r="K39" s="141"/>
    </row>
    <row r="40" spans="1:24">
      <c r="G40" s="141"/>
      <c r="I40" s="141"/>
      <c r="K40" s="141"/>
      <c r="M40" s="4">
        <f>C40-E40+SUM(H40:H41)-SUM(J40:J41)</f>
        <v>0</v>
      </c>
      <c r="N40" s="4">
        <f>IF(M40&gt;0,+M40,0)</f>
        <v>0</v>
      </c>
      <c r="P40" s="4">
        <f>IF(M40&lt;0,-M40,0)</f>
        <v>0</v>
      </c>
      <c r="R40" s="4">
        <f>IF($A40=$S$8,+N40,0)</f>
        <v>0</v>
      </c>
      <c r="T40" s="3">
        <f>IF($A40=$S$8,+P40,0)</f>
        <v>0</v>
      </c>
      <c r="V40" s="3">
        <f>IF($A40=$W$8,+N40,0)</f>
        <v>0</v>
      </c>
      <c r="X40" s="3">
        <f>IF($A40=$W$8,+P40,0)</f>
        <v>0</v>
      </c>
    </row>
    <row r="41" spans="1:24" ht="5" customHeight="1">
      <c r="B41" s="23"/>
      <c r="C41" s="23"/>
      <c r="D41" s="23"/>
      <c r="E41" s="18"/>
      <c r="G41" s="141"/>
      <c r="I41" s="141"/>
      <c r="K41" s="141"/>
    </row>
    <row r="42" spans="1:24">
      <c r="G42" s="141"/>
      <c r="I42" s="141"/>
      <c r="K42" s="141"/>
      <c r="M42" s="4">
        <f>C42-E42+SUM(H42:H43)-SUM(J42:J43)</f>
        <v>0</v>
      </c>
      <c r="N42" s="4">
        <f>IF(M42&gt;0,+M42,0)</f>
        <v>0</v>
      </c>
      <c r="P42" s="4">
        <f>IF(M42&lt;0,-M42,0)</f>
        <v>0</v>
      </c>
      <c r="R42" s="4">
        <f>IF($A42=$S$8,+N42,0)</f>
        <v>0</v>
      </c>
      <c r="T42" s="3">
        <f>IF($A42=$S$8,+P42,0)</f>
        <v>0</v>
      </c>
      <c r="V42" s="3">
        <f>IF($A42=$W$8,+N42,0)</f>
        <v>0</v>
      </c>
      <c r="X42" s="3">
        <f>IF($A42=$W$8,+P42,0)</f>
        <v>0</v>
      </c>
    </row>
    <row r="43" spans="1:24" ht="5" customHeight="1" thickBot="1">
      <c r="B43" s="23"/>
      <c r="C43" s="23"/>
      <c r="D43" s="23"/>
      <c r="E43" s="18"/>
      <c r="G43" s="141"/>
    </row>
    <row r="44" spans="1:24" ht="14" thickBot="1">
      <c r="C44" s="12">
        <f>SUM(C9:C43)</f>
        <v>1400400</v>
      </c>
      <c r="E44" s="13">
        <f>SUM(E9:E43)</f>
        <v>1400400</v>
      </c>
      <c r="H44" s="13">
        <f>SUM(H9:H43)</f>
        <v>368400</v>
      </c>
      <c r="J44" s="13">
        <f>SUM(J9:J43)</f>
        <v>368400</v>
      </c>
      <c r="N44" s="13">
        <f>SUM(N9:N43)</f>
        <v>1603900</v>
      </c>
      <c r="P44" s="13">
        <f>SUM(P9:P43)</f>
        <v>1603900</v>
      </c>
      <c r="R44" s="13">
        <f>SUM(R9:R43)</f>
        <v>97000</v>
      </c>
      <c r="S44" s="4"/>
      <c r="T44" s="13">
        <f>SUM(T9:T43)</f>
        <v>202200</v>
      </c>
      <c r="V44" s="13">
        <f>SUM(V9:V43)</f>
        <v>1506900</v>
      </c>
      <c r="W44" s="4"/>
      <c r="X44" s="13">
        <f>SUM(X9:X43)</f>
        <v>1401700</v>
      </c>
    </row>
    <row r="45" spans="1:24" ht="15" thickTop="1" thickBot="1">
      <c r="B45" s="3" t="s">
        <v>55</v>
      </c>
      <c r="C45" s="14"/>
      <c r="E45" s="15"/>
      <c r="H45" s="15"/>
      <c r="J45" s="15"/>
      <c r="N45" s="15"/>
      <c r="P45" s="15"/>
      <c r="R45" s="4">
        <f>IF(R44&gt;T44,0,+T44-R44)</f>
        <v>105200</v>
      </c>
      <c r="T45" s="3">
        <f>IF(T44&gt;R44,0,+R44-T44)</f>
        <v>0</v>
      </c>
      <c r="V45" s="3">
        <f>T45</f>
        <v>0</v>
      </c>
      <c r="X45" s="3">
        <f>R45</f>
        <v>105200</v>
      </c>
    </row>
    <row r="46" spans="1:24" ht="14" thickBot="1">
      <c r="R46" s="13">
        <f>R45+R44</f>
        <v>202200</v>
      </c>
      <c r="T46" s="12">
        <f>T45+T44</f>
        <v>202200</v>
      </c>
      <c r="V46" s="12">
        <f>V45+V44</f>
        <v>1506900</v>
      </c>
      <c r="X46" s="12">
        <f>X45+X44</f>
        <v>1506900</v>
      </c>
    </row>
    <row r="47" spans="1:24" ht="14" thickTop="1">
      <c r="R47" s="15"/>
      <c r="T47" s="14"/>
      <c r="V47" s="14"/>
      <c r="X47" s="14"/>
    </row>
  </sheetData>
  <mergeCells count="4">
    <mergeCell ref="A1:X1"/>
    <mergeCell ref="A2:X2"/>
    <mergeCell ref="A3:X3"/>
    <mergeCell ref="F7:L7"/>
  </mergeCells>
  <printOptions horizontalCentered="1"/>
  <pageMargins left="0.2" right="0.2" top="0.5" bottom="0.5" header="0.3" footer="0.3"/>
  <pageSetup scale="69" orientation="landscape"/>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G33"/>
  <sheetViews>
    <sheetView workbookViewId="0">
      <selection sqref="A1:F1"/>
    </sheetView>
  </sheetViews>
  <sheetFormatPr baseColWidth="10" defaultColWidth="8.5703125" defaultRowHeight="13" x14ac:dyDescent="0"/>
  <cols>
    <col min="1" max="2" width="2.5703125" style="34" customWidth="1"/>
    <col min="3" max="3" width="32.5703125" style="34" customWidth="1"/>
    <col min="4" max="4" width="11.85546875" style="24" customWidth="1"/>
    <col min="5" max="5" width="0.85546875" style="24" customWidth="1"/>
    <col min="6" max="6" width="11.85546875" style="24" customWidth="1"/>
    <col min="7" max="16384" width="8.5703125" style="24"/>
  </cols>
  <sheetData>
    <row r="1" spans="1:6">
      <c r="A1" s="153" t="str">
        <f>+'GF OS'!A1:E1</f>
        <v>CITY OF SPRINGFIELD</v>
      </c>
      <c r="B1" s="153"/>
      <c r="C1" s="153"/>
      <c r="D1" s="153"/>
      <c r="E1" s="153"/>
      <c r="F1" s="153"/>
    </row>
    <row r="2" spans="1:6">
      <c r="A2" s="153" t="s">
        <v>57</v>
      </c>
      <c r="B2" s="153"/>
      <c r="C2" s="153"/>
      <c r="D2" s="153"/>
      <c r="E2" s="153"/>
      <c r="F2" s="153"/>
    </row>
    <row r="3" spans="1:6">
      <c r="A3" s="153" t="s">
        <v>9</v>
      </c>
      <c r="B3" s="153"/>
      <c r="C3" s="153"/>
      <c r="D3" s="153"/>
      <c r="E3" s="153"/>
      <c r="F3" s="153"/>
    </row>
    <row r="4" spans="1:6">
      <c r="A4" s="153" t="s">
        <v>89</v>
      </c>
      <c r="B4" s="153"/>
      <c r="C4" s="153"/>
      <c r="D4" s="153"/>
      <c r="E4" s="153"/>
      <c r="F4" s="153"/>
    </row>
    <row r="5" spans="1:6">
      <c r="A5" s="32"/>
      <c r="B5" s="32"/>
      <c r="C5" s="32"/>
      <c r="D5" s="25"/>
      <c r="E5" s="25"/>
      <c r="F5" s="25"/>
    </row>
    <row r="6" spans="1:6">
      <c r="A6" s="153" t="s">
        <v>90</v>
      </c>
      <c r="B6" s="153"/>
      <c r="C6" s="153"/>
      <c r="D6" s="153"/>
      <c r="E6" s="153"/>
      <c r="F6" s="153"/>
    </row>
    <row r="7" spans="1:6">
      <c r="A7" s="32" t="s">
        <v>91</v>
      </c>
      <c r="B7" s="32"/>
      <c r="C7" s="32"/>
      <c r="D7" s="25"/>
      <c r="E7" s="25"/>
      <c r="F7" s="26">
        <f>+'GF WS'!V9</f>
        <v>0</v>
      </c>
    </row>
    <row r="8" spans="1:6">
      <c r="A8" s="32" t="s">
        <v>16</v>
      </c>
      <c r="B8" s="32"/>
      <c r="C8" s="32"/>
      <c r="D8" s="25"/>
      <c r="E8" s="25"/>
      <c r="F8" s="27">
        <f>+'GF WS'!V17</f>
        <v>0</v>
      </c>
    </row>
    <row r="9" spans="1:6">
      <c r="A9" s="32" t="s">
        <v>92</v>
      </c>
      <c r="B9" s="32"/>
      <c r="C9" s="32"/>
      <c r="D9" s="25"/>
      <c r="E9" s="25"/>
      <c r="F9" s="27">
        <f>+'GF WS'!V36</f>
        <v>0</v>
      </c>
    </row>
    <row r="10" spans="1:6">
      <c r="A10" s="32" t="s">
        <v>93</v>
      </c>
      <c r="B10" s="32"/>
      <c r="C10" s="32"/>
      <c r="D10" s="26">
        <f>+'GF WS'!V24</f>
        <v>0</v>
      </c>
      <c r="E10" s="26"/>
      <c r="F10" s="27"/>
    </row>
    <row r="11" spans="1:6">
      <c r="A11" s="32" t="s">
        <v>94</v>
      </c>
      <c r="B11" s="32"/>
      <c r="C11" s="32"/>
      <c r="D11" s="27">
        <f>-'GF WS'!X28</f>
        <v>0</v>
      </c>
      <c r="E11" s="27"/>
      <c r="F11" s="27">
        <f>SUM(D10:D11)</f>
        <v>0</v>
      </c>
    </row>
    <row r="12" spans="1:6">
      <c r="A12" s="32" t="s">
        <v>95</v>
      </c>
      <c r="B12" s="32"/>
      <c r="C12" s="32"/>
      <c r="D12" s="29"/>
      <c r="E12" s="27"/>
      <c r="F12" s="27">
        <f>+'GF WS'!V139</f>
        <v>0</v>
      </c>
    </row>
    <row r="13" spans="1:6">
      <c r="A13" s="32" t="s">
        <v>96</v>
      </c>
      <c r="B13" s="32"/>
      <c r="C13" s="32"/>
      <c r="D13" s="27">
        <f>+'GF WS'!V30</f>
        <v>0</v>
      </c>
      <c r="E13" s="27"/>
      <c r="F13" s="27"/>
    </row>
    <row r="14" spans="1:6">
      <c r="A14" s="32" t="s">
        <v>97</v>
      </c>
      <c r="B14" s="32"/>
      <c r="C14" s="32"/>
      <c r="D14" s="27">
        <f>-'GF WS'!X34</f>
        <v>0</v>
      </c>
      <c r="E14" s="27"/>
      <c r="F14" s="27">
        <f>SUM(D13:D14)</f>
        <v>0</v>
      </c>
    </row>
    <row r="15" spans="1:6">
      <c r="A15" s="32" t="s">
        <v>98</v>
      </c>
      <c r="B15" s="32"/>
      <c r="C15" s="32"/>
      <c r="D15" s="28"/>
      <c r="E15" s="25"/>
      <c r="F15" s="27">
        <f>+'GF WS'!V38</f>
        <v>0</v>
      </c>
    </row>
    <row r="16" spans="1:6">
      <c r="A16" s="32" t="s">
        <v>99</v>
      </c>
      <c r="B16" s="32"/>
      <c r="C16" s="32"/>
      <c r="D16" s="25"/>
      <c r="E16" s="25"/>
      <c r="F16" s="27">
        <f>+'GF WS'!V122</f>
        <v>0</v>
      </c>
    </row>
    <row r="17" spans="1:7" ht="14" thickBot="1">
      <c r="A17" s="32" t="s">
        <v>100</v>
      </c>
      <c r="B17" s="32"/>
      <c r="C17" s="32"/>
      <c r="D17" s="25"/>
      <c r="E17" s="25"/>
      <c r="F17" s="30">
        <f>SUM(F7:F16)</f>
        <v>0</v>
      </c>
    </row>
    <row r="18" spans="1:7" ht="14" thickTop="1">
      <c r="A18" s="32"/>
      <c r="B18" s="32"/>
      <c r="C18" s="32"/>
      <c r="D18" s="25"/>
      <c r="E18" s="25"/>
      <c r="F18" s="25"/>
    </row>
    <row r="19" spans="1:7">
      <c r="A19" s="153" t="s">
        <v>101</v>
      </c>
      <c r="B19" s="153"/>
      <c r="C19" s="153"/>
      <c r="D19" s="153"/>
      <c r="E19" s="153"/>
      <c r="F19" s="153"/>
    </row>
    <row r="20" spans="1:7">
      <c r="A20" s="32" t="s">
        <v>102</v>
      </c>
      <c r="B20" s="32"/>
      <c r="C20" s="32"/>
      <c r="D20" s="25"/>
      <c r="E20" s="25"/>
      <c r="F20" s="25"/>
    </row>
    <row r="21" spans="1:7">
      <c r="A21" s="24"/>
      <c r="B21" s="32" t="s">
        <v>103</v>
      </c>
      <c r="C21" s="32"/>
      <c r="D21" s="26">
        <f>+'GF WS'!X41</f>
        <v>0</v>
      </c>
      <c r="E21" s="26"/>
      <c r="F21" s="27"/>
    </row>
    <row r="22" spans="1:7">
      <c r="A22" s="24"/>
      <c r="B22" s="32" t="s">
        <v>104</v>
      </c>
      <c r="C22" s="32"/>
      <c r="D22" s="27">
        <f>+'GF WS'!X46</f>
        <v>0</v>
      </c>
      <c r="E22" s="27"/>
      <c r="F22" s="27"/>
    </row>
    <row r="23" spans="1:7">
      <c r="A23" s="24"/>
      <c r="B23" s="32" t="s">
        <v>28</v>
      </c>
      <c r="C23" s="32"/>
      <c r="D23" s="27">
        <f>+'GF WS'!X51</f>
        <v>0</v>
      </c>
      <c r="E23" s="27"/>
      <c r="F23" s="27"/>
    </row>
    <row r="24" spans="1:7">
      <c r="A24" s="24"/>
      <c r="B24" s="32" t="s">
        <v>105</v>
      </c>
      <c r="C24" s="32"/>
      <c r="D24" s="27">
        <f>+'GF WS'!X117</f>
        <v>0</v>
      </c>
      <c r="E24" s="27"/>
      <c r="F24" s="26">
        <f>SUM(D21:D24)</f>
        <v>0</v>
      </c>
    </row>
    <row r="25" spans="1:7">
      <c r="A25" s="32"/>
      <c r="B25" s="32"/>
      <c r="C25" s="32"/>
      <c r="D25" s="29"/>
      <c r="E25" s="27"/>
      <c r="F25" s="27"/>
    </row>
    <row r="26" spans="1:7">
      <c r="A26" s="32" t="s">
        <v>106</v>
      </c>
      <c r="B26" s="32"/>
      <c r="C26" s="32"/>
      <c r="D26" s="27"/>
      <c r="E26" s="27"/>
      <c r="F26" s="24">
        <f>+'GF WS'!X48</f>
        <v>0</v>
      </c>
    </row>
    <row r="27" spans="1:7">
      <c r="A27" s="32"/>
      <c r="B27" s="32"/>
      <c r="C27" s="32"/>
      <c r="D27" s="27"/>
      <c r="E27" s="27"/>
      <c r="F27" s="27"/>
    </row>
    <row r="28" spans="1:7">
      <c r="A28" s="32" t="s">
        <v>29</v>
      </c>
      <c r="B28" s="32"/>
      <c r="C28" s="32"/>
      <c r="D28" s="27"/>
      <c r="E28" s="27"/>
      <c r="F28" s="27"/>
    </row>
    <row r="29" spans="1:7">
      <c r="A29" s="24"/>
      <c r="B29" s="33"/>
      <c r="C29" s="33"/>
      <c r="D29" s="27">
        <f>+F15</f>
        <v>0</v>
      </c>
      <c r="E29" s="27"/>
      <c r="F29" s="27"/>
    </row>
    <row r="30" spans="1:7">
      <c r="A30" s="24"/>
      <c r="B30" s="32"/>
      <c r="C30" s="32"/>
      <c r="D30" s="27">
        <f>+'GF WS'!J64</f>
        <v>0</v>
      </c>
      <c r="E30" s="27"/>
      <c r="F30" s="27"/>
    </row>
    <row r="31" spans="1:7">
      <c r="A31" s="24"/>
      <c r="B31" s="32"/>
      <c r="C31" s="32"/>
      <c r="D31" s="27">
        <f>+F17-F24-F26-SUM(D29:D30)</f>
        <v>0</v>
      </c>
      <c r="E31" s="27"/>
      <c r="F31" s="27">
        <f>SUM(D29:D31)</f>
        <v>0</v>
      </c>
      <c r="G31" s="24">
        <f>+'GF OS'!E38-'GF BS'!F31</f>
        <v>1442000</v>
      </c>
    </row>
    <row r="32" spans="1:7" ht="14" thickBot="1">
      <c r="A32" s="32" t="s">
        <v>107</v>
      </c>
      <c r="B32" s="32"/>
      <c r="C32" s="32"/>
      <c r="D32" s="28"/>
      <c r="E32" s="25"/>
      <c r="F32" s="30">
        <f>SUM(F24:F31)</f>
        <v>0</v>
      </c>
    </row>
    <row r="33" ht="14" thickTop="1"/>
  </sheetData>
  <mergeCells count="6">
    <mergeCell ref="A19:F19"/>
    <mergeCell ref="A1:F1"/>
    <mergeCell ref="A2:F2"/>
    <mergeCell ref="A3:F3"/>
    <mergeCell ref="A4:F4"/>
    <mergeCell ref="A6:F6"/>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workbookViewId="0">
      <selection activeCell="D7" sqref="D7:F22"/>
    </sheetView>
  </sheetViews>
  <sheetFormatPr baseColWidth="10" defaultColWidth="8.5703125" defaultRowHeight="13" x14ac:dyDescent="0"/>
  <cols>
    <col min="1" max="2" width="2.5703125" style="24" customWidth="1"/>
    <col min="3" max="3" width="45.5703125" style="24" customWidth="1"/>
    <col min="4" max="4" width="10.5703125" style="24" customWidth="1"/>
    <col min="5" max="5" width="0.85546875" style="24" customWidth="1"/>
    <col min="6" max="6" width="10.5703125" style="24" customWidth="1"/>
    <col min="7" max="16384" width="8.5703125" style="24"/>
  </cols>
  <sheetData>
    <row r="1" spans="1:6">
      <c r="A1" s="154" t="s">
        <v>56</v>
      </c>
      <c r="B1" s="154"/>
      <c r="C1" s="154"/>
      <c r="D1" s="154"/>
      <c r="E1" s="154"/>
      <c r="F1" s="154"/>
    </row>
    <row r="2" spans="1:6">
      <c r="A2" s="154" t="s">
        <v>395</v>
      </c>
      <c r="B2" s="154"/>
      <c r="C2" s="154"/>
      <c r="D2" s="154"/>
      <c r="E2" s="154"/>
      <c r="F2" s="154"/>
    </row>
    <row r="3" spans="1:6">
      <c r="A3" s="154" t="s">
        <v>396</v>
      </c>
      <c r="B3" s="154"/>
      <c r="C3" s="154"/>
      <c r="D3" s="154"/>
      <c r="E3" s="154"/>
      <c r="F3" s="154"/>
    </row>
    <row r="4" spans="1:6">
      <c r="A4" s="154" t="s">
        <v>59</v>
      </c>
      <c r="B4" s="154"/>
      <c r="C4" s="154"/>
      <c r="D4" s="154"/>
      <c r="E4" s="154"/>
      <c r="F4" s="154"/>
    </row>
    <row r="6" spans="1:6">
      <c r="A6" s="67" t="s">
        <v>397</v>
      </c>
      <c r="B6" s="67"/>
      <c r="C6" s="67"/>
      <c r="D6" s="67"/>
    </row>
    <row r="7" spans="1:6">
      <c r="B7" s="24" t="s">
        <v>398</v>
      </c>
      <c r="F7" s="78"/>
    </row>
    <row r="8" spans="1:6">
      <c r="B8" s="24" t="s">
        <v>66</v>
      </c>
      <c r="E8" s="38"/>
      <c r="F8" s="38"/>
    </row>
    <row r="9" spans="1:6">
      <c r="C9" s="24" t="s">
        <v>166</v>
      </c>
      <c r="D9" s="78"/>
      <c r="E9" s="76"/>
      <c r="F9" s="38"/>
    </row>
    <row r="10" spans="1:6">
      <c r="C10" s="24" t="s">
        <v>399</v>
      </c>
      <c r="E10" s="38"/>
    </row>
    <row r="11" spans="1:6">
      <c r="B11" s="24" t="s">
        <v>400</v>
      </c>
      <c r="D11" s="28"/>
      <c r="E11" s="38"/>
      <c r="F11" s="37"/>
    </row>
    <row r="12" spans="1:6">
      <c r="E12" s="38"/>
      <c r="F12" s="38"/>
    </row>
    <row r="13" spans="1:6">
      <c r="A13" s="67" t="s">
        <v>401</v>
      </c>
      <c r="B13" s="67"/>
      <c r="C13" s="67"/>
      <c r="D13" s="67"/>
      <c r="E13" s="38"/>
      <c r="F13" s="38"/>
    </row>
    <row r="14" spans="1:6">
      <c r="B14" s="24" t="s">
        <v>402</v>
      </c>
      <c r="E14" s="38"/>
      <c r="F14" s="38"/>
    </row>
    <row r="15" spans="1:6">
      <c r="B15" s="24" t="s">
        <v>403</v>
      </c>
      <c r="E15" s="38"/>
      <c r="F15" s="38"/>
    </row>
    <row r="16" spans="1:6">
      <c r="B16" s="24" t="s">
        <v>404</v>
      </c>
      <c r="F16" s="38"/>
    </row>
    <row r="17" spans="1:6">
      <c r="B17" s="24" t="s">
        <v>405</v>
      </c>
      <c r="D17" s="28"/>
    </row>
    <row r="18" spans="1:6">
      <c r="F18" s="28"/>
    </row>
    <row r="19" spans="1:6">
      <c r="A19" s="67" t="s">
        <v>406</v>
      </c>
    </row>
    <row r="21" spans="1:6">
      <c r="A21" s="67" t="s">
        <v>407</v>
      </c>
      <c r="F21" s="38"/>
    </row>
    <row r="22" spans="1:6" ht="14" thickBot="1">
      <c r="A22" s="67" t="s">
        <v>408</v>
      </c>
      <c r="F22" s="30"/>
    </row>
    <row r="23" spans="1:6" ht="14" thickTop="1"/>
  </sheetData>
  <mergeCells count="4">
    <mergeCell ref="A1:F1"/>
    <mergeCell ref="A2:F2"/>
    <mergeCell ref="A3:F3"/>
    <mergeCell ref="A4:F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D7" sqref="D7:F18"/>
    </sheetView>
  </sheetViews>
  <sheetFormatPr baseColWidth="10" defaultColWidth="8.5703125" defaultRowHeight="13" x14ac:dyDescent="0"/>
  <cols>
    <col min="1" max="2" width="2.5703125" style="24" customWidth="1"/>
    <col min="3" max="3" width="30.5703125" style="24" customWidth="1"/>
    <col min="4" max="4" width="10.5703125" style="24" customWidth="1"/>
    <col min="5" max="5" width="0.85546875" style="24" customWidth="1"/>
    <col min="6" max="6" width="10.5703125" style="24" customWidth="1"/>
    <col min="7" max="16384" width="8.5703125" style="24"/>
  </cols>
  <sheetData>
    <row r="1" spans="1:6">
      <c r="A1" s="154" t="s">
        <v>56</v>
      </c>
      <c r="B1" s="154"/>
      <c r="C1" s="154"/>
      <c r="D1" s="154"/>
      <c r="E1" s="154"/>
      <c r="F1" s="154"/>
    </row>
    <row r="2" spans="1:6">
      <c r="A2" s="154" t="s">
        <v>395</v>
      </c>
      <c r="B2" s="154"/>
      <c r="C2" s="154"/>
      <c r="D2" s="154"/>
      <c r="E2" s="154"/>
      <c r="F2" s="154"/>
    </row>
    <row r="3" spans="1:6">
      <c r="A3" s="154" t="s">
        <v>291</v>
      </c>
      <c r="B3" s="154"/>
      <c r="C3" s="154"/>
      <c r="D3" s="154"/>
      <c r="E3" s="154"/>
      <c r="F3" s="154"/>
    </row>
    <row r="4" spans="1:6">
      <c r="A4" s="154" t="s">
        <v>89</v>
      </c>
      <c r="B4" s="154"/>
      <c r="C4" s="154"/>
      <c r="D4" s="154"/>
      <c r="E4" s="154"/>
      <c r="F4" s="154"/>
    </row>
    <row r="6" spans="1:6">
      <c r="A6" s="67" t="s">
        <v>409</v>
      </c>
      <c r="B6" s="67"/>
      <c r="C6" s="67"/>
    </row>
    <row r="7" spans="1:6">
      <c r="B7" s="24" t="s">
        <v>14</v>
      </c>
      <c r="D7" s="78"/>
      <c r="E7" s="76"/>
    </row>
    <row r="8" spans="1:6">
      <c r="B8" s="24" t="s">
        <v>92</v>
      </c>
      <c r="D8" s="38"/>
      <c r="E8" s="38"/>
    </row>
    <row r="9" spans="1:6">
      <c r="B9" s="24" t="s">
        <v>16</v>
      </c>
      <c r="D9" s="38"/>
      <c r="E9" s="38"/>
    </row>
    <row r="10" spans="1:6">
      <c r="C10" s="24" t="s">
        <v>410</v>
      </c>
      <c r="D10" s="28"/>
      <c r="F10" s="78"/>
    </row>
    <row r="13" spans="1:6">
      <c r="A13" s="67" t="s">
        <v>102</v>
      </c>
      <c r="B13" s="67"/>
      <c r="C13" s="67"/>
    </row>
    <row r="14" spans="1:6">
      <c r="B14" s="24" t="s">
        <v>103</v>
      </c>
      <c r="D14" s="38"/>
      <c r="E14" s="38"/>
      <c r="F14" s="38"/>
    </row>
    <row r="15" spans="1:6">
      <c r="B15" s="24" t="s">
        <v>411</v>
      </c>
      <c r="D15" s="38"/>
      <c r="E15" s="38"/>
      <c r="F15" s="38"/>
    </row>
    <row r="16" spans="1:6">
      <c r="C16" s="24" t="s">
        <v>412</v>
      </c>
      <c r="D16" s="28"/>
      <c r="E16" s="38"/>
      <c r="F16" s="38"/>
    </row>
    <row r="17" spans="1:6">
      <c r="F17" s="28"/>
    </row>
    <row r="18" spans="1:6" ht="14" thickBot="1">
      <c r="A18" s="67" t="s">
        <v>413</v>
      </c>
      <c r="B18" s="67"/>
      <c r="C18" s="67"/>
      <c r="F18" s="103"/>
    </row>
    <row r="19" spans="1:6" ht="14" thickTop="1"/>
  </sheetData>
  <mergeCells count="4">
    <mergeCell ref="A1:F1"/>
    <mergeCell ref="A2:F2"/>
    <mergeCell ref="A3:F3"/>
    <mergeCell ref="A4:F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L54"/>
  <sheetViews>
    <sheetView workbookViewId="0">
      <selection sqref="A1:L1"/>
    </sheetView>
  </sheetViews>
  <sheetFormatPr baseColWidth="10" defaultColWidth="8.5703125" defaultRowHeight="13" x14ac:dyDescent="0"/>
  <cols>
    <col min="1" max="2" width="2.5703125" style="24" customWidth="1"/>
    <col min="3" max="3" width="37.5703125" style="24" customWidth="1"/>
    <col min="4" max="4" width="11.5703125" style="24" customWidth="1"/>
    <col min="5" max="5" width="0.85546875" style="24" customWidth="1"/>
    <col min="6" max="6" width="11.5703125" style="24" customWidth="1"/>
    <col min="7" max="7" width="0.85546875" style="24" customWidth="1"/>
    <col min="8" max="8" width="11.5703125" style="24" customWidth="1"/>
    <col min="9" max="9" width="0.85546875" style="24" customWidth="1"/>
    <col min="10" max="10" width="11.5703125" style="24" customWidth="1"/>
    <col min="11" max="11" width="0.85546875" style="24" customWidth="1"/>
    <col min="12" max="12" width="11.5703125" style="24" customWidth="1"/>
    <col min="13" max="16384" width="8.5703125" style="24"/>
  </cols>
  <sheetData>
    <row r="1" spans="1:12">
      <c r="A1" s="153" t="s">
        <v>56</v>
      </c>
      <c r="B1" s="153"/>
      <c r="C1" s="153"/>
      <c r="D1" s="153"/>
      <c r="E1" s="153"/>
      <c r="F1" s="153"/>
      <c r="G1" s="153"/>
      <c r="H1" s="153"/>
      <c r="I1" s="153"/>
      <c r="J1" s="153"/>
      <c r="K1" s="153"/>
      <c r="L1" s="153"/>
    </row>
    <row r="2" spans="1:12">
      <c r="A2" s="153" t="s">
        <v>414</v>
      </c>
      <c r="B2" s="153"/>
      <c r="C2" s="153"/>
      <c r="D2" s="153"/>
      <c r="E2" s="153"/>
      <c r="F2" s="153"/>
      <c r="G2" s="153"/>
      <c r="H2" s="153"/>
      <c r="I2" s="153"/>
      <c r="J2" s="153"/>
      <c r="K2" s="153"/>
      <c r="L2" s="153"/>
    </row>
    <row r="3" spans="1:12">
      <c r="A3" s="153" t="s">
        <v>58</v>
      </c>
      <c r="B3" s="153"/>
      <c r="C3" s="153"/>
      <c r="D3" s="153"/>
      <c r="E3" s="153"/>
      <c r="F3" s="153"/>
      <c r="G3" s="153"/>
      <c r="H3" s="153"/>
      <c r="I3" s="153"/>
      <c r="J3" s="153"/>
      <c r="K3" s="153"/>
      <c r="L3" s="153"/>
    </row>
    <row r="4" spans="1:12">
      <c r="A4" s="153" t="s">
        <v>59</v>
      </c>
      <c r="B4" s="153"/>
      <c r="C4" s="153"/>
      <c r="D4" s="153"/>
      <c r="E4" s="153"/>
      <c r="F4" s="153"/>
      <c r="G4" s="153"/>
      <c r="H4" s="153"/>
      <c r="I4" s="153"/>
      <c r="J4" s="153"/>
      <c r="K4" s="153"/>
      <c r="L4" s="153"/>
    </row>
    <row r="5" spans="1:12">
      <c r="A5" s="25"/>
      <c r="B5" s="25"/>
      <c r="C5" s="25"/>
      <c r="D5" s="25"/>
      <c r="E5" s="25"/>
    </row>
    <row r="6" spans="1:12">
      <c r="A6" s="25"/>
      <c r="B6" s="25"/>
      <c r="C6" s="25"/>
      <c r="D6" s="147"/>
      <c r="E6" s="147"/>
      <c r="F6" s="142" t="s">
        <v>415</v>
      </c>
      <c r="G6" s="142"/>
      <c r="H6" s="142" t="s">
        <v>416</v>
      </c>
      <c r="I6" s="142"/>
      <c r="J6" s="142"/>
      <c r="K6" s="142"/>
      <c r="L6" s="142" t="s">
        <v>417</v>
      </c>
    </row>
    <row r="7" spans="1:12">
      <c r="A7" s="25"/>
      <c r="B7" s="25"/>
      <c r="C7" s="25"/>
      <c r="D7" s="147" t="s">
        <v>418</v>
      </c>
      <c r="E7" s="147"/>
      <c r="F7" s="142" t="s">
        <v>419</v>
      </c>
      <c r="G7" s="142"/>
      <c r="H7" s="142" t="s">
        <v>420</v>
      </c>
      <c r="I7" s="142"/>
      <c r="J7" s="142" t="s">
        <v>418</v>
      </c>
      <c r="K7" s="142"/>
      <c r="L7" s="142" t="s">
        <v>421</v>
      </c>
    </row>
    <row r="8" spans="1:12">
      <c r="A8" s="25"/>
      <c r="B8" s="25"/>
      <c r="C8" s="25"/>
      <c r="D8" s="147" t="s">
        <v>422</v>
      </c>
      <c r="E8" s="147"/>
      <c r="F8" s="142" t="s">
        <v>423</v>
      </c>
      <c r="G8" s="142"/>
      <c r="H8" s="142" t="s">
        <v>424</v>
      </c>
      <c r="I8" s="142"/>
      <c r="J8" s="142" t="s">
        <v>425</v>
      </c>
      <c r="K8" s="142"/>
      <c r="L8" s="142" t="s">
        <v>193</v>
      </c>
    </row>
    <row r="9" spans="1:12">
      <c r="A9" s="25" t="s">
        <v>60</v>
      </c>
      <c r="B9" s="25"/>
      <c r="C9" s="25"/>
      <c r="D9" s="28"/>
      <c r="E9" s="25"/>
      <c r="F9" s="28"/>
      <c r="H9" s="28"/>
      <c r="J9" s="28"/>
      <c r="L9" s="28"/>
    </row>
    <row r="10" spans="1:12">
      <c r="B10" s="25" t="s">
        <v>61</v>
      </c>
      <c r="C10" s="25"/>
      <c r="D10" s="75">
        <f>+'GF OS'!D7</f>
        <v>0</v>
      </c>
      <c r="E10" s="75"/>
      <c r="F10" s="78">
        <v>0</v>
      </c>
      <c r="G10" s="78"/>
      <c r="H10" s="78">
        <v>0</v>
      </c>
      <c r="I10" s="78"/>
      <c r="J10" s="78">
        <f>+'Gen DSF OS'!D7</f>
        <v>0</v>
      </c>
      <c r="K10" s="78"/>
      <c r="L10" s="78">
        <f t="shared" ref="L10:L15" si="0">SUM(D10:K10)</f>
        <v>0</v>
      </c>
    </row>
    <row r="11" spans="1:12">
      <c r="B11" s="25" t="s">
        <v>426</v>
      </c>
      <c r="C11" s="25"/>
      <c r="D11" s="31">
        <f>+'GF OS'!D8</f>
        <v>0</v>
      </c>
      <c r="E11" s="25"/>
      <c r="F11" s="24">
        <v>0</v>
      </c>
      <c r="H11" s="24">
        <v>0</v>
      </c>
      <c r="J11" s="24">
        <f>+'Gen DSF OS'!D8</f>
        <v>0</v>
      </c>
      <c r="L11" s="24">
        <f t="shared" si="0"/>
        <v>0</v>
      </c>
    </row>
    <row r="12" spans="1:12">
      <c r="B12" s="25" t="s">
        <v>427</v>
      </c>
      <c r="C12" s="25"/>
      <c r="D12" s="31">
        <f>+'GF OS'!D9</f>
        <v>0</v>
      </c>
      <c r="E12" s="25"/>
      <c r="F12" s="24">
        <v>0</v>
      </c>
      <c r="H12" s="24">
        <v>0</v>
      </c>
      <c r="J12" s="24">
        <v>0</v>
      </c>
      <c r="L12" s="24">
        <f t="shared" si="0"/>
        <v>0</v>
      </c>
    </row>
    <row r="13" spans="1:12">
      <c r="B13" s="25" t="s">
        <v>428</v>
      </c>
      <c r="C13" s="25"/>
      <c r="D13" s="31">
        <f>+'GF OS'!D10</f>
        <v>0</v>
      </c>
      <c r="E13" s="25"/>
      <c r="F13" s="24">
        <v>0</v>
      </c>
      <c r="H13" s="24">
        <v>0</v>
      </c>
      <c r="J13" s="24">
        <v>0</v>
      </c>
      <c r="L13" s="24">
        <f t="shared" si="0"/>
        <v>0</v>
      </c>
    </row>
    <row r="14" spans="1:12">
      <c r="B14" s="25" t="s">
        <v>65</v>
      </c>
      <c r="C14" s="25"/>
      <c r="D14" s="31">
        <f>+'GF OS'!D11</f>
        <v>0</v>
      </c>
      <c r="E14" s="25"/>
      <c r="F14" s="24">
        <f>+'AP OS'!D6</f>
        <v>0</v>
      </c>
      <c r="H14" s="24">
        <f>+'P&amp;R OS'!E6</f>
        <v>0</v>
      </c>
      <c r="J14" s="24">
        <v>0</v>
      </c>
      <c r="L14" s="24">
        <f t="shared" si="0"/>
        <v>0</v>
      </c>
    </row>
    <row r="15" spans="1:12">
      <c r="B15" s="25" t="s">
        <v>285</v>
      </c>
      <c r="C15" s="25"/>
      <c r="D15" s="31">
        <f>+'GF OS'!D12</f>
        <v>0</v>
      </c>
      <c r="E15" s="25"/>
      <c r="F15" s="24">
        <v>0</v>
      </c>
      <c r="H15" s="24">
        <v>0</v>
      </c>
      <c r="J15" s="24">
        <f>+'Gen DSF OS'!D9</f>
        <v>0</v>
      </c>
      <c r="L15" s="24">
        <f t="shared" si="0"/>
        <v>0</v>
      </c>
    </row>
    <row r="16" spans="1:12">
      <c r="B16" s="25"/>
      <c r="C16" s="25" t="s">
        <v>67</v>
      </c>
      <c r="D16" s="68">
        <f>SUM(D10:D15)</f>
        <v>0</v>
      </c>
      <c r="F16" s="68">
        <f>SUM(F10:F15)</f>
        <v>0</v>
      </c>
      <c r="H16" s="68">
        <f>SUM(H10:H15)</f>
        <v>0</v>
      </c>
      <c r="J16" s="68">
        <f>SUM(J10:J15)</f>
        <v>0</v>
      </c>
      <c r="L16" s="68">
        <f>SUM(L10:L15)</f>
        <v>0</v>
      </c>
    </row>
    <row r="17" spans="1:12">
      <c r="A17" s="25"/>
      <c r="B17" s="25"/>
      <c r="C17" s="25"/>
      <c r="D17" s="25"/>
      <c r="E17" s="25"/>
    </row>
    <row r="18" spans="1:12">
      <c r="A18" s="25" t="s">
        <v>68</v>
      </c>
      <c r="B18" s="25"/>
      <c r="C18" s="25"/>
      <c r="D18" s="25"/>
      <c r="E18" s="25"/>
    </row>
    <row r="19" spans="1:12">
      <c r="A19" s="25" t="s">
        <v>69</v>
      </c>
      <c r="B19" s="25"/>
      <c r="C19" s="25"/>
      <c r="D19" s="25"/>
      <c r="E19" s="25"/>
    </row>
    <row r="20" spans="1:12">
      <c r="B20" s="25" t="s">
        <v>230</v>
      </c>
      <c r="C20" s="25"/>
      <c r="D20" s="27">
        <f>+'GF OS'!D17</f>
        <v>0</v>
      </c>
      <c r="E20" s="27"/>
      <c r="F20" s="24">
        <v>0</v>
      </c>
      <c r="H20" s="24">
        <v>0</v>
      </c>
      <c r="J20" s="24">
        <v>0</v>
      </c>
      <c r="L20" s="24">
        <f t="shared" ref="L20:L27" si="1">SUM(D20:K20)</f>
        <v>0</v>
      </c>
    </row>
    <row r="21" spans="1:12">
      <c r="B21" s="25" t="s">
        <v>231</v>
      </c>
      <c r="C21" s="25"/>
      <c r="D21" s="27">
        <f>+'GF OS'!D18</f>
        <v>0</v>
      </c>
      <c r="E21" s="27"/>
      <c r="F21" s="24">
        <f>+'AP OS'!D8</f>
        <v>0</v>
      </c>
      <c r="H21" s="24">
        <v>0</v>
      </c>
      <c r="J21" s="24">
        <v>0</v>
      </c>
      <c r="L21" s="24">
        <f t="shared" si="1"/>
        <v>0</v>
      </c>
    </row>
    <row r="22" spans="1:12">
      <c r="B22" s="25" t="s">
        <v>232</v>
      </c>
      <c r="C22" s="25"/>
      <c r="D22" s="27">
        <f>+'GF OS'!D19</f>
        <v>0</v>
      </c>
      <c r="E22" s="27"/>
      <c r="F22" s="24">
        <v>0</v>
      </c>
      <c r="H22" s="24">
        <v>0</v>
      </c>
      <c r="J22" s="24">
        <v>0</v>
      </c>
      <c r="L22" s="24">
        <f t="shared" si="1"/>
        <v>0</v>
      </c>
    </row>
    <row r="23" spans="1:12">
      <c r="B23" s="25" t="s">
        <v>233</v>
      </c>
      <c r="C23" s="25"/>
      <c r="D23" s="27">
        <f>+'GF OS'!D20</f>
        <v>0</v>
      </c>
      <c r="E23" s="27"/>
      <c r="F23" s="24">
        <v>0</v>
      </c>
      <c r="H23" s="24">
        <v>0</v>
      </c>
      <c r="J23" s="24">
        <v>0</v>
      </c>
      <c r="L23" s="24">
        <f t="shared" si="1"/>
        <v>0</v>
      </c>
    </row>
    <row r="24" spans="1:12">
      <c r="B24" s="25" t="s">
        <v>234</v>
      </c>
      <c r="C24" s="25"/>
      <c r="D24" s="27">
        <f>+'GF OS'!D21</f>
        <v>0</v>
      </c>
      <c r="E24" s="27"/>
      <c r="F24" s="24">
        <v>0</v>
      </c>
      <c r="H24" s="24">
        <v>0</v>
      </c>
      <c r="J24" s="24">
        <v>0</v>
      </c>
      <c r="L24" s="24">
        <f t="shared" si="1"/>
        <v>0</v>
      </c>
    </row>
    <row r="25" spans="1:12">
      <c r="B25" s="25"/>
      <c r="C25" s="25"/>
      <c r="D25" s="27"/>
      <c r="E25" s="27"/>
    </row>
    <row r="26" spans="1:12">
      <c r="B26" s="25"/>
      <c r="C26" s="25"/>
      <c r="D26" s="27"/>
      <c r="E26" s="27"/>
    </row>
    <row r="27" spans="1:12">
      <c r="A27" s="25" t="s">
        <v>75</v>
      </c>
      <c r="B27" s="25"/>
      <c r="C27" s="25"/>
      <c r="D27" s="27">
        <f>+'GF OS'!D22</f>
        <v>0</v>
      </c>
      <c r="E27" s="27"/>
      <c r="F27" s="24">
        <v>0</v>
      </c>
      <c r="H27" s="24">
        <f>+'P&amp;R OS'!D9</f>
        <v>0</v>
      </c>
      <c r="J27" s="24">
        <v>0</v>
      </c>
      <c r="L27" s="53">
        <f t="shared" si="1"/>
        <v>0</v>
      </c>
    </row>
    <row r="28" spans="1:12">
      <c r="A28" s="25" t="s">
        <v>429</v>
      </c>
      <c r="B28" s="25"/>
      <c r="C28" s="25"/>
      <c r="D28" s="27"/>
      <c r="E28" s="27"/>
    </row>
    <row r="29" spans="1:12">
      <c r="A29" s="25"/>
      <c r="B29" s="25" t="s">
        <v>430</v>
      </c>
      <c r="C29" s="25"/>
      <c r="D29" s="27">
        <v>0</v>
      </c>
      <c r="E29" s="27"/>
      <c r="F29" s="27">
        <v>0</v>
      </c>
      <c r="H29" s="24">
        <v>0</v>
      </c>
      <c r="J29" s="24">
        <f>+'Gen DSF OS'!D14</f>
        <v>0</v>
      </c>
      <c r="L29" s="24">
        <f>SUM(D29:K29)</f>
        <v>0</v>
      </c>
    </row>
    <row r="30" spans="1:12">
      <c r="A30" s="25"/>
      <c r="B30" s="25" t="s">
        <v>166</v>
      </c>
      <c r="C30" s="25"/>
      <c r="D30" s="27">
        <v>0</v>
      </c>
      <c r="E30" s="27"/>
      <c r="F30" s="27">
        <v>0</v>
      </c>
      <c r="H30" s="24">
        <v>0</v>
      </c>
      <c r="J30" s="24">
        <f>+'Gen DSF OS'!D15</f>
        <v>0</v>
      </c>
      <c r="L30" s="24">
        <f>SUM(D30:K30)</f>
        <v>0</v>
      </c>
    </row>
    <row r="31" spans="1:12">
      <c r="A31" s="25"/>
      <c r="B31" s="25" t="s">
        <v>431</v>
      </c>
      <c r="C31" s="25"/>
      <c r="D31" s="27">
        <v>0</v>
      </c>
      <c r="E31" s="27"/>
      <c r="F31" s="27">
        <v>0</v>
      </c>
      <c r="H31" s="24">
        <f>+'P&amp;R OS'!D10</f>
        <v>0</v>
      </c>
      <c r="J31" s="24">
        <v>0</v>
      </c>
      <c r="L31" s="24">
        <f>SUM(D31:K31)</f>
        <v>0</v>
      </c>
    </row>
    <row r="32" spans="1:12">
      <c r="A32" s="25"/>
      <c r="B32" s="25" t="s">
        <v>432</v>
      </c>
      <c r="C32" s="25"/>
      <c r="D32" s="27">
        <v>0</v>
      </c>
      <c r="E32" s="27"/>
      <c r="F32" s="27">
        <v>0</v>
      </c>
      <c r="H32" s="24">
        <v>0</v>
      </c>
      <c r="J32" s="24">
        <v>0</v>
      </c>
      <c r="L32" s="24">
        <f>SUM(D32:K32)</f>
        <v>0</v>
      </c>
    </row>
    <row r="33" spans="1:12">
      <c r="B33" s="25"/>
      <c r="C33" s="25" t="s">
        <v>76</v>
      </c>
      <c r="D33" s="29">
        <f>SUM(D20:D32)</f>
        <v>0</v>
      </c>
      <c r="F33" s="29">
        <f>SUM(F20:F32)</f>
        <v>0</v>
      </c>
      <c r="H33" s="29">
        <f>SUM(H20:H32)</f>
        <v>0</v>
      </c>
      <c r="J33" s="29">
        <f>SUM(J20:J32)</f>
        <v>0</v>
      </c>
      <c r="L33" s="29">
        <f>SUM(L20:L32)</f>
        <v>0</v>
      </c>
    </row>
    <row r="34" spans="1:12">
      <c r="A34" s="25" t="s">
        <v>144</v>
      </c>
      <c r="B34" s="25"/>
      <c r="C34" s="25"/>
      <c r="D34" s="36">
        <f>+D16-D33</f>
        <v>0</v>
      </c>
      <c r="F34" s="36">
        <f>+F16-F33</f>
        <v>0</v>
      </c>
      <c r="H34" s="36">
        <f>+H16-H33</f>
        <v>0</v>
      </c>
      <c r="J34" s="36">
        <f>+J16-J33</f>
        <v>0</v>
      </c>
      <c r="L34" s="36">
        <f>+L16-L33</f>
        <v>0</v>
      </c>
    </row>
    <row r="35" spans="1:12">
      <c r="A35" s="25"/>
      <c r="B35" s="25"/>
      <c r="C35" s="25"/>
      <c r="D35" s="27"/>
      <c r="E35" s="27"/>
    </row>
    <row r="36" spans="1:12">
      <c r="A36" s="25" t="s">
        <v>78</v>
      </c>
      <c r="B36" s="25"/>
      <c r="C36" s="25"/>
      <c r="D36" s="27"/>
      <c r="E36" s="27"/>
    </row>
    <row r="37" spans="1:12">
      <c r="A37" s="25"/>
      <c r="B37" s="25" t="s">
        <v>145</v>
      </c>
      <c r="C37" s="25"/>
      <c r="D37" s="27">
        <v>0</v>
      </c>
      <c r="E37" s="27"/>
      <c r="F37" s="24">
        <f>+'AP OS'!D12</f>
        <v>0</v>
      </c>
      <c r="H37" s="24">
        <f>+'P&amp;R OS'!D16</f>
        <v>0</v>
      </c>
      <c r="J37" s="24">
        <v>0</v>
      </c>
      <c r="L37" s="24">
        <f t="shared" ref="L37:L46" si="2">SUM(D37:K37)</f>
        <v>0</v>
      </c>
    </row>
    <row r="38" spans="1:12">
      <c r="B38" s="25" t="s">
        <v>79</v>
      </c>
      <c r="C38" s="25"/>
      <c r="D38" s="27">
        <f>+'GF OS'!D27</f>
        <v>0</v>
      </c>
      <c r="E38" s="27"/>
      <c r="F38" s="24">
        <v>0</v>
      </c>
      <c r="H38" s="24">
        <v>0</v>
      </c>
      <c r="J38" s="24">
        <v>0</v>
      </c>
      <c r="L38" s="24">
        <f t="shared" si="2"/>
        <v>0</v>
      </c>
    </row>
    <row r="39" spans="1:12">
      <c r="B39" s="25" t="s">
        <v>80</v>
      </c>
      <c r="C39" s="25"/>
      <c r="D39" s="27">
        <f>+'GF OS'!D28</f>
        <v>0</v>
      </c>
      <c r="E39" s="27"/>
      <c r="F39" s="24">
        <v>0</v>
      </c>
      <c r="H39" s="24">
        <v>0</v>
      </c>
      <c r="J39" s="24">
        <v>0</v>
      </c>
      <c r="L39" s="24">
        <f t="shared" si="2"/>
        <v>0</v>
      </c>
    </row>
    <row r="40" spans="1:12">
      <c r="B40" s="25" t="s">
        <v>146</v>
      </c>
      <c r="C40" s="25"/>
      <c r="D40" s="27">
        <v>0</v>
      </c>
      <c r="E40" s="27"/>
      <c r="F40" s="24">
        <v>0</v>
      </c>
      <c r="H40" s="24">
        <f>+'P&amp;R OS'!D17</f>
        <v>0</v>
      </c>
      <c r="J40" s="24">
        <v>0</v>
      </c>
      <c r="L40" s="24">
        <f t="shared" si="2"/>
        <v>0</v>
      </c>
    </row>
    <row r="41" spans="1:12">
      <c r="B41" s="25" t="s">
        <v>147</v>
      </c>
      <c r="C41" s="25"/>
      <c r="D41" s="27">
        <v>0</v>
      </c>
      <c r="E41" s="27"/>
      <c r="F41" s="24">
        <v>0</v>
      </c>
      <c r="H41" s="24">
        <f>+'P&amp;R OS'!D18</f>
        <v>0</v>
      </c>
      <c r="J41" s="24">
        <v>0</v>
      </c>
      <c r="L41" s="24">
        <f t="shared" si="2"/>
        <v>0</v>
      </c>
    </row>
    <row r="42" spans="1:12">
      <c r="B42" s="25"/>
      <c r="C42" s="25"/>
      <c r="D42" s="27"/>
      <c r="E42" s="27"/>
    </row>
    <row r="43" spans="1:12">
      <c r="B43" s="25" t="s">
        <v>81</v>
      </c>
      <c r="C43" s="25"/>
      <c r="D43" s="27">
        <f>+'GF OS'!D29</f>
        <v>0</v>
      </c>
      <c r="E43" s="27"/>
      <c r="F43" s="24">
        <v>0</v>
      </c>
      <c r="H43" s="24">
        <v>0</v>
      </c>
      <c r="J43" s="24">
        <v>0</v>
      </c>
      <c r="L43" s="24">
        <f t="shared" si="2"/>
        <v>0</v>
      </c>
    </row>
    <row r="44" spans="1:12">
      <c r="B44" s="25"/>
      <c r="C44" s="25"/>
      <c r="D44" s="27"/>
      <c r="E44" s="27"/>
    </row>
    <row r="45" spans="1:12">
      <c r="B45" s="25" t="s">
        <v>48</v>
      </c>
      <c r="C45" s="25"/>
      <c r="D45" s="27">
        <f>+'GF OS'!D30</f>
        <v>0</v>
      </c>
      <c r="E45" s="27"/>
      <c r="F45" s="24">
        <v>0</v>
      </c>
      <c r="H45" s="24">
        <v>0</v>
      </c>
      <c r="J45" s="24">
        <v>0</v>
      </c>
      <c r="L45" s="24">
        <f t="shared" si="2"/>
        <v>0</v>
      </c>
    </row>
    <row r="46" spans="1:12">
      <c r="B46" s="25" t="s">
        <v>83</v>
      </c>
      <c r="C46" s="25"/>
      <c r="D46" s="27">
        <f>+'GF OS'!D31</f>
        <v>0</v>
      </c>
      <c r="E46" s="27"/>
      <c r="F46" s="24">
        <v>0</v>
      </c>
      <c r="H46" s="24">
        <v>0</v>
      </c>
      <c r="J46" s="24">
        <v>0</v>
      </c>
      <c r="L46" s="24">
        <f t="shared" si="2"/>
        <v>0</v>
      </c>
    </row>
    <row r="47" spans="1:12">
      <c r="B47" s="25"/>
      <c r="C47" s="25"/>
      <c r="D47" s="27"/>
    </row>
    <row r="48" spans="1:12">
      <c r="A48" s="25"/>
      <c r="B48" s="25"/>
      <c r="C48" s="25" t="s">
        <v>85</v>
      </c>
      <c r="D48" s="36">
        <f>SUM(D37:D47)</f>
        <v>0</v>
      </c>
      <c r="F48" s="36">
        <f>SUM(F37:F47)</f>
        <v>0</v>
      </c>
      <c r="H48" s="36">
        <f>SUM(H37:H47)</f>
        <v>0</v>
      </c>
      <c r="J48" s="36">
        <f>SUM(J37:J47)</f>
        <v>0</v>
      </c>
      <c r="L48" s="36">
        <f>SUM(L37:L47)</f>
        <v>0</v>
      </c>
    </row>
    <row r="50" spans="1:12">
      <c r="A50" s="25" t="s">
        <v>86</v>
      </c>
      <c r="B50" s="25"/>
      <c r="C50" s="25"/>
      <c r="D50" s="27">
        <f>+D34+D48</f>
        <v>0</v>
      </c>
      <c r="F50" s="27">
        <f>+F34+F48</f>
        <v>0</v>
      </c>
      <c r="H50" s="27">
        <f>+H34+H48</f>
        <v>0</v>
      </c>
      <c r="J50" s="27">
        <f>+J34+J48</f>
        <v>0</v>
      </c>
      <c r="L50" s="27">
        <f>+L34+L48</f>
        <v>0</v>
      </c>
    </row>
    <row r="51" spans="1:12">
      <c r="A51" s="25"/>
      <c r="B51" s="25"/>
      <c r="C51" s="25"/>
      <c r="D51" s="27"/>
      <c r="E51" s="27"/>
    </row>
    <row r="52" spans="1:12">
      <c r="A52" s="25" t="s">
        <v>117</v>
      </c>
      <c r="B52" s="25"/>
      <c r="C52" s="25"/>
      <c r="D52" s="27">
        <f>+'GF OS'!E37</f>
        <v>1442000</v>
      </c>
      <c r="F52" s="24">
        <f>+'AP OS'!D16</f>
        <v>0</v>
      </c>
      <c r="H52" s="24">
        <f>+'P&amp;R OS'!E23</f>
        <v>0</v>
      </c>
      <c r="J52" s="24">
        <f>+'Gen DSF OS'!E20</f>
        <v>0</v>
      </c>
      <c r="L52" s="24">
        <f>SUM(D52:K52)</f>
        <v>1442000</v>
      </c>
    </row>
    <row r="53" spans="1:12" ht="14" thickBot="1">
      <c r="A53" s="25" t="s">
        <v>118</v>
      </c>
      <c r="B53" s="25"/>
      <c r="C53" s="25"/>
      <c r="D53" s="80">
        <f>+D52+D50</f>
        <v>1442000</v>
      </c>
      <c r="E53" s="57"/>
      <c r="F53" s="80">
        <f>+F52+F50</f>
        <v>0</v>
      </c>
      <c r="G53" s="57"/>
      <c r="H53" s="80">
        <f>+H52+H50</f>
        <v>0</v>
      </c>
      <c r="I53" s="57"/>
      <c r="J53" s="80">
        <f>+J52+J50</f>
        <v>0</v>
      </c>
      <c r="K53" s="57"/>
      <c r="L53" s="80">
        <f>+L52+L50</f>
        <v>1442000</v>
      </c>
    </row>
    <row r="54" spans="1:12" ht="14" thickTop="1">
      <c r="D54" s="25"/>
      <c r="E54" s="25"/>
    </row>
  </sheetData>
  <mergeCells count="4">
    <mergeCell ref="A1:L1"/>
    <mergeCell ref="A2:L2"/>
    <mergeCell ref="A3:L3"/>
    <mergeCell ref="A4:L4"/>
  </mergeCells>
  <printOptions horizontalCentered="1"/>
  <pageMargins left="0.2" right="0.2" top="0.25" bottom="0.25" header="0.3" footer="0.3"/>
  <pageSetup scale="73" orientation="landscape"/>
  <extLst>
    <ext xmlns:mx="http://schemas.microsoft.com/office/mac/excel/2008/main" uri="{64002731-A6B0-56B0-2670-7721B7C09600}">
      <mx:PLV Mode="0" OnePage="0" WScale="0"/>
    </ext>
  </extLst>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M71"/>
  <sheetViews>
    <sheetView workbookViewId="0">
      <selection activeCell="B29" sqref="B29:M29"/>
    </sheetView>
  </sheetViews>
  <sheetFormatPr baseColWidth="10" defaultColWidth="8.5703125" defaultRowHeight="13" x14ac:dyDescent="0"/>
  <cols>
    <col min="1" max="3" width="2.5703125" style="24" customWidth="1"/>
    <col min="4" max="4" width="37.5703125" style="24" customWidth="1"/>
    <col min="5" max="5" width="11.5703125" style="24" customWidth="1"/>
    <col min="6" max="6" width="0.85546875" style="24" customWidth="1"/>
    <col min="7" max="7" width="11.5703125" style="24" customWidth="1"/>
    <col min="8" max="8" width="0.85546875" style="24" customWidth="1"/>
    <col min="9" max="9" width="11.5703125" style="24" customWidth="1"/>
    <col min="10" max="10" width="0.85546875" style="24" customWidth="1"/>
    <col min="11" max="11" width="11.5703125" style="24" customWidth="1"/>
    <col min="12" max="12" width="0.85546875" style="24" customWidth="1"/>
    <col min="13" max="13" width="11.5703125" style="24" customWidth="1"/>
    <col min="14" max="16384" width="8.5703125" style="24"/>
  </cols>
  <sheetData>
    <row r="1" spans="1:13">
      <c r="A1" s="153" t="s">
        <v>56</v>
      </c>
      <c r="B1" s="153"/>
      <c r="C1" s="153"/>
      <c r="D1" s="153"/>
      <c r="E1" s="153"/>
      <c r="F1" s="153"/>
      <c r="G1" s="153"/>
      <c r="H1" s="153"/>
      <c r="I1" s="153"/>
      <c r="J1" s="153"/>
      <c r="K1" s="153"/>
      <c r="L1" s="153"/>
      <c r="M1" s="153"/>
    </row>
    <row r="2" spans="1:13">
      <c r="A2" s="153" t="s">
        <v>414</v>
      </c>
      <c r="B2" s="153"/>
      <c r="C2" s="153"/>
      <c r="D2" s="153"/>
      <c r="E2" s="153"/>
      <c r="F2" s="153"/>
      <c r="G2" s="153"/>
      <c r="H2" s="153"/>
      <c r="I2" s="153"/>
      <c r="J2" s="153"/>
      <c r="K2" s="153"/>
      <c r="L2" s="153"/>
      <c r="M2" s="153"/>
    </row>
    <row r="3" spans="1:13">
      <c r="A3" s="153" t="s">
        <v>9</v>
      </c>
      <c r="B3" s="153"/>
      <c r="C3" s="153"/>
      <c r="D3" s="153"/>
      <c r="E3" s="153"/>
      <c r="F3" s="153"/>
      <c r="G3" s="153"/>
      <c r="H3" s="153"/>
      <c r="I3" s="153"/>
      <c r="J3" s="153"/>
      <c r="K3" s="153"/>
      <c r="L3" s="153"/>
      <c r="M3" s="153"/>
    </row>
    <row r="4" spans="1:13">
      <c r="A4" s="153" t="s">
        <v>89</v>
      </c>
      <c r="B4" s="153"/>
      <c r="C4" s="153"/>
      <c r="D4" s="153"/>
      <c r="E4" s="153"/>
      <c r="F4" s="153"/>
      <c r="G4" s="153"/>
      <c r="H4" s="153"/>
      <c r="I4" s="153"/>
      <c r="J4" s="153"/>
      <c r="K4" s="153"/>
      <c r="L4" s="153"/>
      <c r="M4" s="153"/>
    </row>
    <row r="5" spans="1:13">
      <c r="A5" s="25"/>
      <c r="B5" s="25"/>
      <c r="C5" s="25"/>
      <c r="D5" s="25"/>
      <c r="E5" s="25"/>
      <c r="F5" s="25"/>
    </row>
    <row r="6" spans="1:13">
      <c r="A6" s="25"/>
      <c r="B6" s="25"/>
      <c r="C6" s="25"/>
      <c r="D6" s="25"/>
      <c r="E6" s="147"/>
      <c r="F6" s="147"/>
      <c r="G6" s="142" t="s">
        <v>415</v>
      </c>
      <c r="H6" s="142"/>
      <c r="I6" s="142" t="s">
        <v>416</v>
      </c>
      <c r="J6" s="142"/>
      <c r="K6" s="142"/>
      <c r="L6" s="142"/>
      <c r="M6" s="142" t="s">
        <v>417</v>
      </c>
    </row>
    <row r="7" spans="1:13">
      <c r="A7" s="25"/>
      <c r="B7" s="25"/>
      <c r="C7" s="25"/>
      <c r="D7" s="25"/>
      <c r="E7" s="147" t="s">
        <v>418</v>
      </c>
      <c r="F7" s="147"/>
      <c r="G7" s="142" t="s">
        <v>419</v>
      </c>
      <c r="H7" s="142"/>
      <c r="I7" s="142" t="s">
        <v>420</v>
      </c>
      <c r="J7" s="142"/>
      <c r="K7" s="142" t="s">
        <v>418</v>
      </c>
      <c r="L7" s="142"/>
      <c r="M7" s="142" t="s">
        <v>421</v>
      </c>
    </row>
    <row r="8" spans="1:13">
      <c r="A8" s="25"/>
      <c r="B8" s="25"/>
      <c r="C8" s="25"/>
      <c r="D8" s="25"/>
      <c r="E8" s="147" t="s">
        <v>422</v>
      </c>
      <c r="F8" s="147"/>
      <c r="G8" s="142" t="s">
        <v>423</v>
      </c>
      <c r="H8" s="142"/>
      <c r="I8" s="142" t="s">
        <v>424</v>
      </c>
      <c r="J8" s="142"/>
      <c r="K8" s="142" t="s">
        <v>425</v>
      </c>
      <c r="L8" s="142"/>
      <c r="M8" s="142" t="s">
        <v>193</v>
      </c>
    </row>
    <row r="9" spans="1:13">
      <c r="A9" s="153" t="s">
        <v>90</v>
      </c>
      <c r="B9" s="153"/>
      <c r="C9" s="153"/>
      <c r="D9" s="153"/>
      <c r="E9" s="28"/>
      <c r="F9" s="25"/>
      <c r="G9" s="28"/>
      <c r="I9" s="28"/>
      <c r="K9" s="28"/>
      <c r="M9" s="28"/>
    </row>
    <row r="10" spans="1:13">
      <c r="A10" s="32" t="s">
        <v>91</v>
      </c>
      <c r="B10" s="25"/>
      <c r="C10" s="25"/>
      <c r="D10" s="25"/>
      <c r="E10" s="75">
        <f>+'GF BS'!F7</f>
        <v>0</v>
      </c>
      <c r="F10" s="75"/>
      <c r="G10" s="75">
        <f>+'AP BS'!E7</f>
        <v>0</v>
      </c>
      <c r="H10" s="75"/>
      <c r="I10" s="75">
        <f>+'P&amp;R BS'!E7</f>
        <v>0</v>
      </c>
      <c r="J10" s="75"/>
      <c r="K10" s="75">
        <f>+'Gen DSF BS'!F7</f>
        <v>0</v>
      </c>
      <c r="L10" s="75"/>
      <c r="M10" s="75">
        <f t="shared" ref="M10:M18" si="0">SUM(E10:L10)</f>
        <v>0</v>
      </c>
    </row>
    <row r="11" spans="1:13">
      <c r="A11" s="32" t="s">
        <v>16</v>
      </c>
      <c r="B11" s="25"/>
      <c r="C11" s="25"/>
      <c r="D11" s="25"/>
      <c r="E11" s="31">
        <f>+'GF BS'!F8</f>
        <v>0</v>
      </c>
      <c r="F11" s="25"/>
      <c r="G11" s="25">
        <v>0</v>
      </c>
      <c r="H11" s="25"/>
      <c r="I11" s="25">
        <v>0</v>
      </c>
      <c r="J11" s="25"/>
      <c r="K11" s="25">
        <f>+'Gen DSF BS'!F8</f>
        <v>0</v>
      </c>
      <c r="L11" s="25"/>
      <c r="M11" s="25">
        <f t="shared" si="0"/>
        <v>0</v>
      </c>
    </row>
    <row r="12" spans="1:13">
      <c r="A12" s="32"/>
      <c r="B12" s="25"/>
      <c r="C12" s="25"/>
      <c r="D12" s="81"/>
      <c r="E12" s="31"/>
      <c r="F12" s="81"/>
      <c r="G12" s="81"/>
      <c r="H12" s="81"/>
      <c r="I12" s="81"/>
      <c r="J12" s="25"/>
      <c r="K12" s="25"/>
      <c r="L12" s="25"/>
      <c r="M12" s="25"/>
    </row>
    <row r="13" spans="1:13">
      <c r="A13" s="32" t="s">
        <v>121</v>
      </c>
      <c r="B13" s="25"/>
      <c r="C13" s="25"/>
      <c r="D13" s="81"/>
      <c r="E13" s="31">
        <v>0</v>
      </c>
      <c r="F13" s="81"/>
      <c r="G13" s="146">
        <f>+'AP BS'!E8</f>
        <v>0</v>
      </c>
      <c r="H13" s="81"/>
      <c r="I13" s="25">
        <v>0</v>
      </c>
      <c r="J13" s="25"/>
      <c r="K13" s="25">
        <v>0</v>
      </c>
      <c r="L13" s="25"/>
      <c r="M13" s="25">
        <f t="shared" si="0"/>
        <v>0</v>
      </c>
    </row>
    <row r="14" spans="1:13">
      <c r="A14" s="32" t="s">
        <v>47</v>
      </c>
      <c r="B14" s="25"/>
      <c r="C14" s="25"/>
      <c r="D14" s="25"/>
      <c r="E14" s="31">
        <f>+'GF BS'!F16</f>
        <v>0</v>
      </c>
      <c r="F14" s="32"/>
      <c r="G14" s="27">
        <v>0</v>
      </c>
      <c r="H14" s="27"/>
      <c r="I14" s="27">
        <v>0</v>
      </c>
      <c r="J14" s="25"/>
      <c r="K14" s="25">
        <v>0</v>
      </c>
      <c r="L14" s="25"/>
      <c r="M14" s="25">
        <f t="shared" si="0"/>
        <v>0</v>
      </c>
    </row>
    <row r="15" spans="1:13">
      <c r="A15" s="32" t="s">
        <v>433</v>
      </c>
      <c r="B15" s="25"/>
      <c r="C15" s="25"/>
      <c r="D15" s="25"/>
      <c r="E15" s="31">
        <f>+'GF BS'!F11</f>
        <v>0</v>
      </c>
      <c r="F15" s="32"/>
      <c r="G15" s="25">
        <v>0</v>
      </c>
      <c r="H15" s="25"/>
      <c r="I15" s="25">
        <v>0</v>
      </c>
      <c r="J15" s="25"/>
      <c r="K15" s="25">
        <f>+'Gen DSF BS'!F10</f>
        <v>0</v>
      </c>
      <c r="L15" s="25"/>
      <c r="M15" s="25">
        <f t="shared" si="0"/>
        <v>0</v>
      </c>
    </row>
    <row r="16" spans="1:13">
      <c r="A16" s="32"/>
      <c r="B16" s="25"/>
      <c r="C16" s="25"/>
      <c r="D16" s="25"/>
      <c r="E16" s="31"/>
      <c r="F16" s="32"/>
      <c r="G16" s="25"/>
      <c r="H16" s="25"/>
      <c r="I16" s="25"/>
      <c r="J16" s="25"/>
      <c r="K16" s="25"/>
      <c r="L16" s="25"/>
      <c r="M16" s="25"/>
    </row>
    <row r="17" spans="1:13">
      <c r="A17" s="32" t="s">
        <v>434</v>
      </c>
      <c r="B17" s="25"/>
      <c r="C17" s="25"/>
      <c r="D17" s="25"/>
      <c r="E17" s="31">
        <f>+'GF BS'!F14</f>
        <v>0</v>
      </c>
      <c r="F17" s="32"/>
      <c r="G17" s="31">
        <v>0</v>
      </c>
      <c r="H17" s="31"/>
      <c r="I17" s="31">
        <v>0</v>
      </c>
      <c r="J17" s="25"/>
      <c r="K17" s="31">
        <f>+'Gen DSF BS'!F12</f>
        <v>0</v>
      </c>
      <c r="L17" s="25"/>
      <c r="M17" s="25">
        <f t="shared" si="0"/>
        <v>0</v>
      </c>
    </row>
    <row r="18" spans="1:13">
      <c r="A18" s="32" t="s">
        <v>24</v>
      </c>
      <c r="B18" s="25"/>
      <c r="C18" s="25"/>
      <c r="D18" s="25"/>
      <c r="E18" s="31">
        <f>+'GF BS'!F15</f>
        <v>0</v>
      </c>
      <c r="F18" s="32"/>
      <c r="G18" s="27">
        <v>0</v>
      </c>
      <c r="H18" s="27"/>
      <c r="I18" s="27">
        <v>0</v>
      </c>
      <c r="J18" s="25"/>
      <c r="K18" s="25">
        <v>0</v>
      </c>
      <c r="L18" s="25"/>
      <c r="M18" s="25">
        <f t="shared" si="0"/>
        <v>0</v>
      </c>
    </row>
    <row r="19" spans="1:13" ht="14" thickBot="1">
      <c r="A19" s="25"/>
      <c r="C19" s="32" t="s">
        <v>100</v>
      </c>
      <c r="D19" s="25"/>
      <c r="E19" s="79">
        <f>SUM(E10:E18)</f>
        <v>0</v>
      </c>
      <c r="F19" s="104"/>
      <c r="G19" s="79">
        <f>SUM(G10:G18)</f>
        <v>0</v>
      </c>
      <c r="H19" s="105"/>
      <c r="I19" s="79">
        <f>SUM(I10:I18)</f>
        <v>0</v>
      </c>
      <c r="J19" s="59"/>
      <c r="K19" s="79">
        <f>SUM(K10:K18)</f>
        <v>0</v>
      </c>
      <c r="L19" s="59"/>
      <c r="M19" s="79">
        <f>SUM(M10:M18)</f>
        <v>0</v>
      </c>
    </row>
    <row r="20" spans="1:13" ht="14" thickTop="1">
      <c r="A20" s="25"/>
      <c r="B20" s="25"/>
      <c r="C20" s="25"/>
      <c r="D20" s="25"/>
      <c r="E20" s="32"/>
      <c r="F20" s="32"/>
      <c r="G20" s="25"/>
      <c r="H20" s="25"/>
      <c r="I20" s="25"/>
      <c r="J20" s="25"/>
      <c r="K20" s="25"/>
      <c r="L20" s="25"/>
      <c r="M20" s="25"/>
    </row>
    <row r="21" spans="1:13">
      <c r="A21" s="25" t="s">
        <v>435</v>
      </c>
      <c r="B21" s="25"/>
      <c r="C21" s="25"/>
      <c r="D21" s="25"/>
      <c r="E21" s="32"/>
      <c r="F21" s="32"/>
      <c r="G21" s="25"/>
      <c r="H21" s="25"/>
      <c r="I21" s="25"/>
      <c r="J21" s="25"/>
      <c r="K21" s="25"/>
      <c r="L21" s="25"/>
      <c r="M21" s="25"/>
    </row>
    <row r="22" spans="1:13">
      <c r="A22" s="32" t="s">
        <v>102</v>
      </c>
      <c r="B22" s="32"/>
      <c r="C22" s="25"/>
      <c r="D22" s="25"/>
      <c r="E22" s="32"/>
      <c r="F22" s="32"/>
      <c r="G22" s="25"/>
      <c r="H22" s="25"/>
      <c r="I22" s="25"/>
      <c r="J22" s="25"/>
      <c r="K22" s="25"/>
      <c r="L22" s="25"/>
      <c r="M22" s="25"/>
    </row>
    <row r="23" spans="1:13">
      <c r="B23" s="32" t="s">
        <v>25</v>
      </c>
      <c r="C23" s="25"/>
      <c r="D23" s="32"/>
      <c r="E23" s="104">
        <f>+'GF BS'!D21</f>
        <v>0</v>
      </c>
      <c r="F23" s="104"/>
      <c r="G23" s="59">
        <f>+'AP BS'!D13</f>
        <v>0</v>
      </c>
      <c r="H23" s="59"/>
      <c r="I23" s="59">
        <v>0</v>
      </c>
      <c r="J23" s="59"/>
      <c r="K23" s="59">
        <v>0</v>
      </c>
      <c r="L23" s="59"/>
      <c r="M23" s="59">
        <f t="shared" ref="M23:M28" si="1">SUM(E23:L23)</f>
        <v>0</v>
      </c>
    </row>
    <row r="24" spans="1:13">
      <c r="B24" s="32" t="s">
        <v>26</v>
      </c>
      <c r="C24" s="25"/>
      <c r="D24" s="81"/>
      <c r="E24" s="32">
        <f>+'GF BS'!D22</f>
        <v>0</v>
      </c>
      <c r="F24" s="81"/>
      <c r="G24" s="24">
        <v>0</v>
      </c>
      <c r="H24" s="81"/>
      <c r="I24" s="25">
        <v>0</v>
      </c>
      <c r="J24" s="25"/>
      <c r="K24" s="25">
        <v>0</v>
      </c>
      <c r="L24" s="25"/>
      <c r="M24" s="25">
        <f t="shared" si="1"/>
        <v>0</v>
      </c>
    </row>
    <row r="25" spans="1:13">
      <c r="B25" s="32" t="s">
        <v>139</v>
      </c>
      <c r="C25" s="25"/>
      <c r="D25" s="81"/>
      <c r="E25" s="32">
        <v>0</v>
      </c>
      <c r="F25" s="81"/>
      <c r="G25" s="24">
        <v>0</v>
      </c>
      <c r="H25" s="81"/>
      <c r="I25" s="25">
        <f>+'P&amp;R BS'!E10</f>
        <v>0</v>
      </c>
      <c r="J25" s="25"/>
      <c r="K25" s="25">
        <v>0</v>
      </c>
      <c r="L25" s="25"/>
      <c r="M25" s="25">
        <f t="shared" si="1"/>
        <v>0</v>
      </c>
    </row>
    <row r="26" spans="1:13">
      <c r="B26" s="32" t="s">
        <v>130</v>
      </c>
      <c r="C26" s="25"/>
      <c r="D26" s="81"/>
      <c r="E26" s="32">
        <v>0</v>
      </c>
      <c r="F26" s="81"/>
      <c r="G26" s="25">
        <f>+'AP BS'!D14</f>
        <v>0</v>
      </c>
      <c r="H26" s="81"/>
      <c r="I26" s="25">
        <v>0</v>
      </c>
      <c r="J26" s="25"/>
      <c r="K26" s="25">
        <v>0</v>
      </c>
      <c r="L26" s="25"/>
      <c r="M26" s="25">
        <f t="shared" si="1"/>
        <v>0</v>
      </c>
    </row>
    <row r="27" spans="1:13">
      <c r="B27" s="32" t="s">
        <v>28</v>
      </c>
      <c r="C27" s="25"/>
      <c r="D27" s="25"/>
      <c r="E27" s="32">
        <f>+'GF BS'!D23</f>
        <v>0</v>
      </c>
      <c r="F27" s="32"/>
      <c r="G27" s="25">
        <v>0</v>
      </c>
      <c r="H27" s="25"/>
      <c r="I27" s="25">
        <v>0</v>
      </c>
      <c r="J27" s="25"/>
      <c r="K27" s="25">
        <v>0</v>
      </c>
      <c r="L27" s="25"/>
      <c r="M27" s="25">
        <f t="shared" si="1"/>
        <v>0</v>
      </c>
    </row>
    <row r="28" spans="1:13">
      <c r="B28" s="32" t="s">
        <v>105</v>
      </c>
      <c r="C28" s="25"/>
      <c r="D28" s="25"/>
      <c r="E28" s="32">
        <f>+'GF BS'!D24</f>
        <v>0</v>
      </c>
      <c r="F28" s="32"/>
      <c r="G28" s="31">
        <v>0</v>
      </c>
      <c r="H28" s="31"/>
      <c r="I28" s="25">
        <v>0</v>
      </c>
      <c r="J28" s="25"/>
      <c r="K28" s="25">
        <v>0</v>
      </c>
      <c r="L28" s="25"/>
      <c r="M28" s="25">
        <f t="shared" si="1"/>
        <v>0</v>
      </c>
    </row>
    <row r="29" spans="1:13">
      <c r="B29" s="32"/>
      <c r="C29" s="25"/>
      <c r="D29" s="25"/>
      <c r="E29" s="32"/>
      <c r="F29" s="32"/>
      <c r="G29" s="31"/>
      <c r="H29" s="31"/>
      <c r="I29" s="25"/>
      <c r="J29" s="25"/>
      <c r="K29" s="25"/>
      <c r="L29" s="25"/>
      <c r="M29" s="25"/>
    </row>
    <row r="30" spans="1:13">
      <c r="B30" s="32"/>
      <c r="C30" s="25" t="s">
        <v>316</v>
      </c>
      <c r="D30" s="25"/>
      <c r="E30" s="37">
        <f>SUM(E23:E29)</f>
        <v>0</v>
      </c>
      <c r="F30" s="32"/>
      <c r="G30" s="37">
        <f>SUM(G23:G29)</f>
        <v>0</v>
      </c>
      <c r="H30" s="31"/>
      <c r="I30" s="37">
        <f>SUM(I23:I29)</f>
        <v>0</v>
      </c>
      <c r="J30" s="25"/>
      <c r="K30" s="37">
        <f>SUM(K23:K29)</f>
        <v>0</v>
      </c>
      <c r="L30" s="25"/>
      <c r="M30" s="37">
        <f>SUM(M23:M29)</f>
        <v>0</v>
      </c>
    </row>
    <row r="31" spans="1:13">
      <c r="A31" s="25"/>
      <c r="B31" s="25"/>
      <c r="C31" s="25"/>
      <c r="D31" s="25"/>
      <c r="E31" s="25"/>
      <c r="F31" s="32"/>
      <c r="G31" s="27"/>
      <c r="H31" s="27"/>
      <c r="I31" s="25"/>
      <c r="J31" s="25"/>
      <c r="K31" s="25"/>
      <c r="L31" s="25"/>
      <c r="M31" s="25"/>
    </row>
    <row r="32" spans="1:13">
      <c r="A32" s="32" t="s">
        <v>106</v>
      </c>
      <c r="B32" s="25"/>
      <c r="C32" s="25"/>
      <c r="D32" s="25"/>
      <c r="E32" s="82">
        <f>+'GF BS'!F26</f>
        <v>0</v>
      </c>
      <c r="F32" s="32"/>
      <c r="G32" s="72">
        <v>0</v>
      </c>
      <c r="H32" s="27"/>
      <c r="I32" s="82">
        <v>0</v>
      </c>
      <c r="J32" s="25"/>
      <c r="K32" s="82">
        <f>+'Gen DSF BS'!F18</f>
        <v>0</v>
      </c>
      <c r="L32" s="25"/>
      <c r="M32" s="82">
        <f>SUM(E32:L32)</f>
        <v>0</v>
      </c>
    </row>
    <row r="33" spans="1:13">
      <c r="A33" s="25"/>
      <c r="B33" s="25"/>
      <c r="C33" s="25"/>
      <c r="D33" s="25"/>
      <c r="E33" s="25"/>
      <c r="F33" s="32"/>
      <c r="G33" s="27"/>
      <c r="H33" s="27"/>
      <c r="I33" s="25"/>
      <c r="J33" s="25"/>
      <c r="K33" s="25"/>
      <c r="L33" s="25"/>
      <c r="M33" s="25"/>
    </row>
    <row r="34" spans="1:13">
      <c r="A34" s="32" t="s">
        <v>436</v>
      </c>
      <c r="B34" s="32"/>
      <c r="C34" s="25"/>
      <c r="D34" s="32"/>
      <c r="E34" s="32"/>
      <c r="F34" s="32"/>
      <c r="G34" s="27"/>
      <c r="H34" s="27"/>
      <c r="I34" s="25"/>
      <c r="J34" s="25"/>
      <c r="K34" s="25"/>
      <c r="L34" s="25"/>
      <c r="M34" s="25"/>
    </row>
    <row r="35" spans="1:13">
      <c r="B35" s="33" t="s">
        <v>437</v>
      </c>
      <c r="C35" s="25"/>
      <c r="D35" s="25"/>
      <c r="E35" s="32">
        <f>+'GF BS'!D29</f>
        <v>0</v>
      </c>
      <c r="F35" s="32"/>
      <c r="G35" s="27">
        <v>0</v>
      </c>
      <c r="H35" s="27"/>
      <c r="I35" s="25">
        <v>0</v>
      </c>
      <c r="J35" s="25"/>
      <c r="K35" s="25">
        <v>0</v>
      </c>
      <c r="L35" s="25"/>
      <c r="M35" s="25">
        <f>SUM(E35:L35)</f>
        <v>0</v>
      </c>
    </row>
    <row r="36" spans="1:13">
      <c r="B36" s="24" t="s">
        <v>327</v>
      </c>
      <c r="C36" s="25"/>
      <c r="D36" s="32"/>
      <c r="E36" s="32">
        <v>0</v>
      </c>
      <c r="F36" s="32"/>
      <c r="G36" s="27">
        <v>0</v>
      </c>
      <c r="H36" s="27"/>
      <c r="I36" s="27">
        <f>+'P&amp;R BS'!C12</f>
        <v>-200000</v>
      </c>
      <c r="J36" s="25"/>
      <c r="K36" s="27">
        <f>+'Gen DSF BS'!F21</f>
        <v>0</v>
      </c>
      <c r="L36" s="25"/>
      <c r="M36" s="25">
        <f>SUM(E36:L36)</f>
        <v>-200000</v>
      </c>
    </row>
    <row r="37" spans="1:13">
      <c r="B37" s="24" t="s">
        <v>438</v>
      </c>
      <c r="C37" s="25"/>
      <c r="D37" s="25"/>
      <c r="E37" s="25">
        <v>0</v>
      </c>
      <c r="F37" s="32"/>
      <c r="G37" s="27">
        <v>0</v>
      </c>
      <c r="H37" s="27"/>
      <c r="I37" s="27">
        <f>+'P&amp;R BS'!C13</f>
        <v>200000</v>
      </c>
      <c r="J37" s="25"/>
      <c r="K37" s="24">
        <v>0</v>
      </c>
      <c r="L37" s="25"/>
      <c r="M37" s="25">
        <f>SUM(E37:L37)</f>
        <v>200000</v>
      </c>
    </row>
    <row r="38" spans="1:13">
      <c r="A38" s="25"/>
      <c r="B38" s="32" t="s">
        <v>439</v>
      </c>
      <c r="C38" s="25"/>
      <c r="D38" s="25"/>
      <c r="E38" s="25">
        <f>+'GF BS'!D30</f>
        <v>0</v>
      </c>
      <c r="F38" s="33"/>
      <c r="G38" s="27">
        <f>+'AP BS'!E15</f>
        <v>0</v>
      </c>
      <c r="H38" s="27"/>
      <c r="I38" s="25">
        <v>0</v>
      </c>
      <c r="J38" s="25"/>
      <c r="K38" s="27">
        <f>+'Gen DSF BS'!D22</f>
        <v>0</v>
      </c>
      <c r="L38" s="25"/>
      <c r="M38" s="25">
        <f>SUM(E38:L38)</f>
        <v>0</v>
      </c>
    </row>
    <row r="39" spans="1:13">
      <c r="A39" s="25"/>
      <c r="B39" s="32" t="s">
        <v>440</v>
      </c>
      <c r="C39" s="25"/>
      <c r="D39" s="25"/>
      <c r="E39" s="25">
        <f>+'GF BS'!D31</f>
        <v>0</v>
      </c>
      <c r="F39" s="32"/>
      <c r="G39" s="27">
        <v>0</v>
      </c>
      <c r="H39" s="27"/>
      <c r="I39" s="25">
        <v>0</v>
      </c>
      <c r="J39" s="25"/>
      <c r="K39" s="25">
        <v>0</v>
      </c>
      <c r="L39" s="25"/>
      <c r="M39" s="25">
        <f>SUM(E39:L39)</f>
        <v>0</v>
      </c>
    </row>
    <row r="40" spans="1:13">
      <c r="A40" s="25"/>
      <c r="B40" s="25"/>
      <c r="C40" s="24" t="s">
        <v>441</v>
      </c>
      <c r="D40" s="25"/>
      <c r="E40" s="37">
        <f>SUM(E35:E39)</f>
        <v>0</v>
      </c>
      <c r="F40" s="32"/>
      <c r="G40" s="37">
        <f>SUM(G35:G39)</f>
        <v>0</v>
      </c>
      <c r="H40" s="27"/>
      <c r="I40" s="37">
        <f>SUM(I35:I39)</f>
        <v>0</v>
      </c>
      <c r="J40" s="25"/>
      <c r="K40" s="37">
        <f>SUM(K35:K39)</f>
        <v>0</v>
      </c>
      <c r="L40" s="25"/>
      <c r="M40" s="37">
        <f>SUM(M35:M39)</f>
        <v>0</v>
      </c>
    </row>
    <row r="41" spans="1:13" ht="14" thickBot="1">
      <c r="A41" s="25"/>
      <c r="B41" s="25"/>
      <c r="C41" s="25" t="s">
        <v>435</v>
      </c>
      <c r="D41" s="32"/>
      <c r="E41" s="79">
        <f>+E40+E32+E30</f>
        <v>0</v>
      </c>
      <c r="F41" s="104"/>
      <c r="G41" s="79">
        <f>+G40+G32+G30</f>
        <v>0</v>
      </c>
      <c r="H41" s="59"/>
      <c r="I41" s="79">
        <f>+I40+I32+I30</f>
        <v>0</v>
      </c>
      <c r="J41" s="59"/>
      <c r="K41" s="79">
        <f>+K40+K32+K30</f>
        <v>0</v>
      </c>
      <c r="L41" s="59"/>
      <c r="M41" s="79">
        <f>+M40+M32+M30</f>
        <v>0</v>
      </c>
    </row>
    <row r="42" spans="1:13" ht="14" thickTop="1">
      <c r="A42" s="25"/>
      <c r="B42" s="25"/>
      <c r="C42" s="25"/>
      <c r="D42" s="32"/>
      <c r="E42" s="32"/>
      <c r="F42" s="32"/>
      <c r="G42" s="25"/>
      <c r="H42" s="25"/>
      <c r="I42" s="25"/>
      <c r="J42" s="25"/>
      <c r="K42" s="25"/>
      <c r="L42" s="25"/>
      <c r="M42" s="25"/>
    </row>
    <row r="43" spans="1:13">
      <c r="A43" s="25"/>
      <c r="B43" s="25"/>
      <c r="C43" s="25"/>
      <c r="D43" s="25"/>
      <c r="E43" s="27"/>
      <c r="F43" s="27"/>
      <c r="G43" s="25"/>
      <c r="H43" s="25"/>
      <c r="I43" s="25"/>
      <c r="J43" s="25"/>
      <c r="K43" s="25"/>
      <c r="L43" s="25"/>
      <c r="M43" s="25"/>
    </row>
    <row r="44" spans="1:13">
      <c r="A44" s="25"/>
      <c r="B44" s="25"/>
      <c r="C44" s="25"/>
      <c r="D44" s="25"/>
      <c r="E44" s="27"/>
      <c r="F44" s="27"/>
      <c r="G44" s="25"/>
      <c r="H44" s="25"/>
      <c r="I44" s="25"/>
      <c r="J44" s="25"/>
      <c r="K44" s="25"/>
      <c r="L44" s="25"/>
      <c r="M44" s="25"/>
    </row>
    <row r="45" spans="1:13">
      <c r="A45" s="25"/>
      <c r="B45" s="25"/>
      <c r="C45" s="25"/>
      <c r="D45" s="25"/>
      <c r="E45" s="27"/>
      <c r="F45" s="27"/>
      <c r="G45" s="25"/>
      <c r="H45" s="25"/>
      <c r="I45" s="25"/>
      <c r="J45" s="25"/>
      <c r="K45" s="25"/>
      <c r="L45" s="25"/>
      <c r="M45" s="25"/>
    </row>
    <row r="46" spans="1:13">
      <c r="A46" s="25"/>
      <c r="B46" s="25"/>
      <c r="C46" s="25"/>
      <c r="D46" s="25"/>
      <c r="E46" s="27"/>
      <c r="F46" s="27"/>
      <c r="G46" s="25"/>
      <c r="H46" s="25"/>
      <c r="I46" s="25"/>
      <c r="J46" s="25"/>
      <c r="K46" s="25"/>
      <c r="L46" s="25"/>
      <c r="M46" s="25"/>
    </row>
    <row r="47" spans="1:13">
      <c r="A47" s="25"/>
      <c r="B47" s="25"/>
      <c r="C47" s="25"/>
      <c r="D47" s="25"/>
      <c r="E47" s="27"/>
      <c r="F47" s="27"/>
      <c r="G47" s="25"/>
      <c r="H47" s="25"/>
      <c r="I47" s="25"/>
      <c r="J47" s="25"/>
      <c r="K47" s="25"/>
      <c r="L47" s="25"/>
      <c r="M47" s="25"/>
    </row>
    <row r="48" spans="1:13">
      <c r="A48" s="25"/>
      <c r="B48" s="25"/>
      <c r="C48" s="25"/>
      <c r="D48" s="25"/>
      <c r="E48" s="27"/>
      <c r="F48" s="27"/>
      <c r="G48" s="25"/>
      <c r="H48" s="25"/>
      <c r="I48" s="25"/>
      <c r="J48" s="25"/>
      <c r="K48" s="25"/>
      <c r="L48" s="25"/>
      <c r="M48" s="25"/>
    </row>
    <row r="49" spans="1:13">
      <c r="A49" s="25"/>
      <c r="B49" s="25"/>
      <c r="C49" s="25"/>
      <c r="D49" s="25"/>
      <c r="E49" s="27"/>
      <c r="F49" s="27"/>
      <c r="G49" s="25"/>
      <c r="H49" s="25"/>
      <c r="I49" s="25"/>
      <c r="J49" s="25"/>
      <c r="K49" s="25"/>
      <c r="L49" s="25"/>
      <c r="M49" s="25"/>
    </row>
    <row r="50" spans="1:13">
      <c r="A50" s="25"/>
      <c r="B50" s="25"/>
      <c r="C50" s="25"/>
      <c r="D50" s="25"/>
      <c r="E50" s="27"/>
      <c r="F50" s="25"/>
      <c r="G50" s="25"/>
      <c r="H50" s="25"/>
      <c r="I50" s="25"/>
      <c r="J50" s="25"/>
      <c r="K50" s="25"/>
      <c r="L50" s="25"/>
      <c r="M50" s="25"/>
    </row>
    <row r="51" spans="1:13">
      <c r="A51" s="25"/>
      <c r="B51" s="25"/>
      <c r="C51" s="25"/>
      <c r="D51" s="25"/>
      <c r="E51" s="27"/>
      <c r="F51" s="25"/>
      <c r="G51" s="27"/>
      <c r="H51" s="25"/>
      <c r="I51" s="27"/>
      <c r="J51" s="25"/>
      <c r="K51" s="27"/>
      <c r="L51" s="25"/>
      <c r="M51" s="27"/>
    </row>
    <row r="52" spans="1:13">
      <c r="A52" s="25"/>
      <c r="B52" s="25"/>
      <c r="C52" s="25"/>
      <c r="D52" s="25"/>
      <c r="E52" s="25"/>
      <c r="F52" s="25"/>
      <c r="G52" s="25"/>
      <c r="H52" s="25"/>
      <c r="I52" s="25"/>
      <c r="J52" s="25"/>
      <c r="K52" s="25"/>
      <c r="L52" s="25"/>
      <c r="M52" s="25"/>
    </row>
    <row r="53" spans="1:13">
      <c r="A53" s="25"/>
      <c r="B53" s="25"/>
      <c r="C53" s="25"/>
      <c r="D53" s="25"/>
      <c r="E53" s="27"/>
      <c r="F53" s="25"/>
      <c r="G53" s="27"/>
      <c r="H53" s="25"/>
      <c r="I53" s="27"/>
      <c r="J53" s="25"/>
      <c r="K53" s="27"/>
      <c r="L53" s="25"/>
      <c r="M53" s="27"/>
    </row>
    <row r="54" spans="1:13">
      <c r="A54" s="25"/>
      <c r="B54" s="25"/>
      <c r="C54" s="25"/>
      <c r="D54" s="25"/>
      <c r="E54" s="27"/>
      <c r="F54" s="27"/>
      <c r="G54" s="25"/>
      <c r="H54" s="25"/>
      <c r="I54" s="25"/>
      <c r="J54" s="25"/>
      <c r="K54" s="25"/>
      <c r="L54" s="25"/>
      <c r="M54" s="25"/>
    </row>
    <row r="55" spans="1:13">
      <c r="A55" s="25"/>
      <c r="B55" s="25"/>
      <c r="C55" s="25"/>
      <c r="D55" s="25"/>
      <c r="E55" s="27"/>
      <c r="F55" s="25"/>
      <c r="G55" s="25"/>
      <c r="H55" s="25"/>
      <c r="I55" s="25"/>
      <c r="J55" s="25"/>
      <c r="K55" s="25"/>
      <c r="L55" s="25"/>
      <c r="M55" s="25"/>
    </row>
    <row r="56" spans="1:13">
      <c r="A56" s="25"/>
      <c r="B56" s="25"/>
      <c r="C56" s="25"/>
      <c r="D56" s="25"/>
      <c r="E56" s="31"/>
      <c r="F56" s="25"/>
      <c r="G56" s="31"/>
      <c r="H56" s="25"/>
      <c r="I56" s="31"/>
      <c r="J56" s="25"/>
      <c r="K56" s="31"/>
      <c r="L56" s="25"/>
      <c r="M56" s="31"/>
    </row>
    <row r="57" spans="1:13">
      <c r="A57" s="25"/>
      <c r="B57" s="25"/>
      <c r="C57" s="25"/>
      <c r="D57" s="25"/>
      <c r="E57" s="25"/>
      <c r="F57" s="25"/>
      <c r="G57" s="25"/>
      <c r="H57" s="25"/>
      <c r="I57" s="25"/>
      <c r="J57" s="25"/>
      <c r="K57" s="25"/>
      <c r="L57" s="25"/>
      <c r="M57" s="25"/>
    </row>
    <row r="58" spans="1:13">
      <c r="A58" s="25"/>
      <c r="B58" s="25"/>
      <c r="C58" s="25"/>
      <c r="D58" s="25"/>
      <c r="E58" s="25"/>
      <c r="F58" s="25"/>
      <c r="G58" s="25"/>
      <c r="H58" s="25"/>
      <c r="I58" s="25"/>
      <c r="J58" s="25"/>
      <c r="K58" s="25"/>
      <c r="L58" s="25"/>
      <c r="M58" s="25"/>
    </row>
    <row r="59" spans="1:13">
      <c r="A59" s="25"/>
      <c r="B59" s="25"/>
      <c r="C59" s="25"/>
      <c r="D59" s="25"/>
      <c r="E59" s="25"/>
      <c r="F59" s="25"/>
      <c r="G59" s="25"/>
      <c r="H59" s="25"/>
      <c r="I59" s="25"/>
      <c r="J59" s="25"/>
      <c r="K59" s="25"/>
      <c r="L59" s="25"/>
      <c r="M59" s="25"/>
    </row>
    <row r="60" spans="1:13">
      <c r="A60" s="25"/>
      <c r="B60" s="25"/>
      <c r="C60" s="25"/>
      <c r="D60" s="25"/>
      <c r="E60" s="25"/>
      <c r="F60" s="25"/>
      <c r="G60" s="25"/>
      <c r="H60" s="25"/>
      <c r="I60" s="25"/>
      <c r="J60" s="25"/>
      <c r="K60" s="25"/>
      <c r="L60" s="25"/>
      <c r="M60" s="25"/>
    </row>
    <row r="61" spans="1:13">
      <c r="A61" s="25"/>
      <c r="B61" s="25"/>
      <c r="C61" s="25"/>
      <c r="D61" s="25"/>
      <c r="E61" s="25"/>
      <c r="F61" s="25"/>
      <c r="G61" s="25"/>
      <c r="H61" s="25"/>
      <c r="I61" s="25"/>
      <c r="J61" s="25"/>
      <c r="K61" s="25"/>
      <c r="L61" s="25"/>
      <c r="M61" s="25"/>
    </row>
    <row r="62" spans="1:13">
      <c r="A62" s="25"/>
      <c r="B62" s="25"/>
      <c r="C62" s="25"/>
      <c r="D62" s="25"/>
      <c r="E62" s="25"/>
      <c r="F62" s="25"/>
      <c r="G62" s="25"/>
      <c r="H62" s="25"/>
      <c r="I62" s="25"/>
      <c r="J62" s="25"/>
      <c r="K62" s="25"/>
      <c r="L62" s="25"/>
      <c r="M62" s="25"/>
    </row>
    <row r="63" spans="1:13">
      <c r="A63" s="25"/>
      <c r="B63" s="25"/>
      <c r="C63" s="25"/>
      <c r="D63" s="25"/>
      <c r="E63" s="25"/>
      <c r="F63" s="25"/>
      <c r="G63" s="25"/>
      <c r="H63" s="25"/>
      <c r="I63" s="25"/>
      <c r="J63" s="25"/>
      <c r="K63" s="25"/>
      <c r="L63" s="25"/>
      <c r="M63" s="25"/>
    </row>
    <row r="64" spans="1:13">
      <c r="A64" s="25"/>
      <c r="B64" s="25"/>
      <c r="C64" s="25"/>
      <c r="D64" s="25"/>
      <c r="E64" s="25"/>
      <c r="F64" s="25"/>
      <c r="G64" s="25"/>
      <c r="H64" s="25"/>
      <c r="I64" s="25"/>
      <c r="J64" s="25"/>
      <c r="K64" s="25"/>
      <c r="L64" s="25"/>
      <c r="M64" s="25"/>
    </row>
    <row r="65" spans="1:13">
      <c r="A65" s="25"/>
      <c r="B65" s="25"/>
      <c r="C65" s="25"/>
      <c r="D65" s="25"/>
      <c r="E65" s="25"/>
      <c r="F65" s="25"/>
      <c r="G65" s="25"/>
      <c r="H65" s="25"/>
      <c r="I65" s="25"/>
      <c r="J65" s="25"/>
      <c r="K65" s="25"/>
      <c r="L65" s="25"/>
      <c r="M65" s="25"/>
    </row>
    <row r="66" spans="1:13">
      <c r="A66" s="25"/>
      <c r="B66" s="25"/>
      <c r="C66" s="25"/>
      <c r="D66" s="25"/>
      <c r="E66" s="25"/>
      <c r="F66" s="25"/>
      <c r="G66" s="25"/>
      <c r="H66" s="25"/>
      <c r="I66" s="25"/>
      <c r="J66" s="25"/>
      <c r="K66" s="25"/>
      <c r="L66" s="25"/>
      <c r="M66" s="25"/>
    </row>
    <row r="67" spans="1:13">
      <c r="A67" s="25"/>
      <c r="B67" s="25"/>
      <c r="C67" s="25"/>
      <c r="D67" s="25"/>
      <c r="E67" s="25"/>
      <c r="F67" s="25"/>
      <c r="G67" s="25"/>
      <c r="H67" s="25"/>
      <c r="I67" s="25"/>
      <c r="J67" s="25"/>
      <c r="K67" s="25"/>
      <c r="L67" s="25"/>
      <c r="M67" s="25"/>
    </row>
    <row r="68" spans="1:13">
      <c r="A68" s="25"/>
      <c r="B68" s="25"/>
      <c r="C68" s="25"/>
      <c r="D68" s="25"/>
      <c r="E68" s="25"/>
      <c r="F68" s="25"/>
      <c r="G68" s="25"/>
      <c r="H68" s="25"/>
      <c r="I68" s="25"/>
      <c r="J68" s="25"/>
      <c r="K68" s="25"/>
      <c r="L68" s="25"/>
      <c r="M68" s="25"/>
    </row>
    <row r="69" spans="1:13">
      <c r="A69" s="25"/>
      <c r="B69" s="25"/>
      <c r="C69" s="25"/>
      <c r="D69" s="25"/>
      <c r="E69" s="25"/>
      <c r="F69" s="25"/>
      <c r="G69" s="25"/>
      <c r="H69" s="25"/>
      <c r="I69" s="25"/>
      <c r="J69" s="25"/>
      <c r="K69" s="25"/>
      <c r="L69" s="25"/>
      <c r="M69" s="25"/>
    </row>
    <row r="70" spans="1:13">
      <c r="A70" s="25"/>
      <c r="B70" s="25"/>
      <c r="C70" s="25"/>
      <c r="D70" s="25"/>
      <c r="E70" s="25"/>
      <c r="F70" s="25"/>
      <c r="G70" s="25"/>
      <c r="H70" s="25"/>
      <c r="I70" s="25"/>
      <c r="J70" s="25"/>
      <c r="K70" s="25"/>
      <c r="L70" s="25"/>
      <c r="M70" s="25"/>
    </row>
    <row r="71" spans="1:13">
      <c r="A71" s="25"/>
      <c r="B71" s="25"/>
      <c r="C71" s="25"/>
      <c r="D71" s="25"/>
      <c r="E71" s="25"/>
      <c r="F71" s="25"/>
      <c r="G71" s="25"/>
      <c r="H71" s="25"/>
      <c r="I71" s="25"/>
      <c r="J71" s="25"/>
      <c r="K71" s="25"/>
      <c r="L71" s="25"/>
      <c r="M71" s="25"/>
    </row>
  </sheetData>
  <mergeCells count="5">
    <mergeCell ref="A1:M1"/>
    <mergeCell ref="A2:M2"/>
    <mergeCell ref="A3:M3"/>
    <mergeCell ref="A4:M4"/>
    <mergeCell ref="A9:D9"/>
  </mergeCells>
  <pageMargins left="0.45" right="0.45" top="0.25" bottom="0.25" header="0.3" footer="0.3"/>
  <pageSetup scale="80" orientation="landscape"/>
  <extLst>
    <ext xmlns:mx="http://schemas.microsoft.com/office/mac/excel/2008/main" uri="{64002731-A6B0-56B0-2670-7721B7C09600}">
      <mx:PLV Mode="0" OnePage="0" WScale="0"/>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E40"/>
  <sheetViews>
    <sheetView workbookViewId="0">
      <selection activeCell="A2" sqref="A2:E2"/>
    </sheetView>
  </sheetViews>
  <sheetFormatPr baseColWidth="10" defaultColWidth="8.5703125" defaultRowHeight="13" x14ac:dyDescent="0"/>
  <cols>
    <col min="1" max="1" width="2.5703125" style="24" customWidth="1"/>
    <col min="2" max="2" width="30.5703125" style="24" customWidth="1"/>
    <col min="3" max="3" width="12.5703125" style="24" customWidth="1"/>
    <col min="4" max="4" width="1.5703125" style="24" customWidth="1"/>
    <col min="5" max="5" width="12.5703125" style="24" customWidth="1"/>
    <col min="6" max="16384" width="8.5703125" style="24"/>
  </cols>
  <sheetData>
    <row r="1" spans="1:5">
      <c r="A1" s="153" t="s">
        <v>56</v>
      </c>
      <c r="B1" s="153"/>
      <c r="C1" s="153"/>
      <c r="D1" s="153"/>
      <c r="E1" s="153"/>
    </row>
    <row r="2" spans="1:5">
      <c r="A2" s="153" t="s">
        <v>442</v>
      </c>
      <c r="B2" s="153"/>
      <c r="C2" s="153"/>
      <c r="D2" s="153"/>
      <c r="E2" s="153"/>
    </row>
    <row r="3" spans="1:5">
      <c r="A3" s="153" t="s">
        <v>273</v>
      </c>
      <c r="B3" s="153"/>
      <c r="C3" s="153"/>
      <c r="D3" s="153"/>
      <c r="E3" s="153"/>
    </row>
    <row r="4" spans="1:5">
      <c r="A4" s="153" t="s">
        <v>59</v>
      </c>
      <c r="B4" s="153"/>
      <c r="C4" s="153"/>
      <c r="D4" s="153"/>
      <c r="E4" s="153"/>
    </row>
    <row r="5" spans="1:5">
      <c r="A5" s="143"/>
      <c r="B5" s="143"/>
      <c r="C5" s="143"/>
      <c r="D5" s="143"/>
      <c r="E5" s="143"/>
    </row>
    <row r="6" spans="1:5">
      <c r="A6" s="143"/>
      <c r="B6" s="143"/>
      <c r="C6" s="147"/>
      <c r="D6" s="147"/>
      <c r="E6" s="147" t="s">
        <v>443</v>
      </c>
    </row>
    <row r="7" spans="1:5">
      <c r="A7" s="143"/>
      <c r="B7" s="143"/>
      <c r="C7" s="147" t="s">
        <v>444</v>
      </c>
      <c r="D7" s="147"/>
      <c r="E7" s="147" t="s">
        <v>445</v>
      </c>
    </row>
    <row r="8" spans="1:5">
      <c r="A8" s="143"/>
      <c r="B8" s="143"/>
      <c r="C8" s="147" t="s">
        <v>446</v>
      </c>
      <c r="D8" s="147"/>
      <c r="E8" s="147" t="s">
        <v>447</v>
      </c>
    </row>
    <row r="9" spans="1:5">
      <c r="A9" s="25"/>
      <c r="B9" s="25"/>
      <c r="C9" s="147" t="s">
        <v>448</v>
      </c>
      <c r="D9" s="147"/>
      <c r="E9" s="147" t="s">
        <v>449</v>
      </c>
    </row>
    <row r="10" spans="1:5">
      <c r="A10" s="25"/>
      <c r="B10" s="25"/>
      <c r="C10" s="147" t="s">
        <v>422</v>
      </c>
      <c r="D10" s="147"/>
      <c r="E10" s="147" t="s">
        <v>422</v>
      </c>
    </row>
    <row r="11" spans="1:5">
      <c r="A11" s="63" t="s">
        <v>274</v>
      </c>
      <c r="B11" s="63"/>
      <c r="C11" s="25"/>
      <c r="D11" s="25"/>
      <c r="E11" s="25"/>
    </row>
    <row r="12" spans="1:5">
      <c r="A12" s="27" t="s">
        <v>450</v>
      </c>
      <c r="B12" s="27"/>
      <c r="C12" s="75">
        <f>+'W&amp;S OS'!C7</f>
        <v>0</v>
      </c>
      <c r="D12" s="26"/>
      <c r="E12" s="59">
        <v>0</v>
      </c>
    </row>
    <row r="13" spans="1:5">
      <c r="A13" s="27" t="s">
        <v>451</v>
      </c>
      <c r="B13" s="27"/>
      <c r="C13" s="31">
        <f>+'W&amp;S OS'!C8</f>
        <v>0</v>
      </c>
      <c r="D13" s="27"/>
      <c r="E13" s="31">
        <v>0</v>
      </c>
    </row>
    <row r="14" spans="1:5">
      <c r="A14" s="25" t="s">
        <v>452</v>
      </c>
      <c r="B14" s="25"/>
      <c r="C14" s="27">
        <v>0</v>
      </c>
      <c r="D14" s="27"/>
      <c r="E14" s="25">
        <f>+'CCN OS'!F7</f>
        <v>0</v>
      </c>
    </row>
    <row r="15" spans="1:5">
      <c r="A15" s="25"/>
      <c r="B15" s="25" t="s">
        <v>453</v>
      </c>
      <c r="C15" s="36">
        <f>SUM(C12:C14)</f>
        <v>0</v>
      </c>
      <c r="D15" s="27"/>
      <c r="E15" s="36">
        <f>SUM(E12:E14)</f>
        <v>0</v>
      </c>
    </row>
    <row r="16" spans="1:5">
      <c r="A16" s="25"/>
      <c r="B16" s="25"/>
      <c r="C16" s="27"/>
      <c r="D16" s="27"/>
      <c r="E16" s="25"/>
    </row>
    <row r="17" spans="1:5">
      <c r="A17" s="63" t="s">
        <v>277</v>
      </c>
      <c r="B17" s="63"/>
      <c r="C17" s="27"/>
      <c r="D17" s="27"/>
      <c r="E17" s="25"/>
    </row>
    <row r="18" spans="1:5">
      <c r="A18" s="27" t="s">
        <v>278</v>
      </c>
      <c r="B18" s="27"/>
      <c r="C18" s="27">
        <f>+'W&amp;S OS'!C11</f>
        <v>0</v>
      </c>
      <c r="D18" s="27"/>
      <c r="E18" s="25">
        <f>+'CCN OS'!D10</f>
        <v>0</v>
      </c>
    </row>
    <row r="19" spans="1:5">
      <c r="A19" s="27" t="s">
        <v>279</v>
      </c>
      <c r="B19" s="27"/>
      <c r="C19" s="27">
        <f>+'W&amp;S OS'!C12</f>
        <v>0</v>
      </c>
      <c r="D19" s="27"/>
      <c r="E19" s="25">
        <f>+'CCN OS'!D11</f>
        <v>0</v>
      </c>
    </row>
    <row r="20" spans="1:5">
      <c r="A20" s="27" t="s">
        <v>280</v>
      </c>
      <c r="B20" s="27"/>
      <c r="C20" s="27">
        <f>+'W&amp;S OS'!C13</f>
        <v>0</v>
      </c>
      <c r="D20" s="27"/>
      <c r="E20" s="25">
        <f>+'CCN OS'!D12</f>
        <v>0</v>
      </c>
    </row>
    <row r="21" spans="1:5">
      <c r="A21" s="27" t="s">
        <v>281</v>
      </c>
      <c r="B21" s="27"/>
      <c r="C21" s="27">
        <f>+'W&amp;S OS'!C14</f>
        <v>0</v>
      </c>
      <c r="D21" s="27"/>
      <c r="E21" s="25">
        <f>+'CCN OS'!D13</f>
        <v>0</v>
      </c>
    </row>
    <row r="22" spans="1:5">
      <c r="A22" s="27" t="s">
        <v>282</v>
      </c>
      <c r="B22" s="27"/>
      <c r="C22" s="27">
        <f>+'W&amp;S OS'!C15</f>
        <v>0</v>
      </c>
      <c r="D22" s="27"/>
      <c r="E22" s="27">
        <v>0</v>
      </c>
    </row>
    <row r="23" spans="1:5">
      <c r="A23" s="27"/>
      <c r="B23" s="27" t="s">
        <v>454</v>
      </c>
      <c r="C23" s="36">
        <f>SUM(C18:C22)</f>
        <v>0</v>
      </c>
      <c r="D23" s="27"/>
      <c r="E23" s="36">
        <f>SUM(E18:E22)</f>
        <v>0</v>
      </c>
    </row>
    <row r="24" spans="1:5">
      <c r="A24" s="27"/>
      <c r="B24" s="27"/>
      <c r="C24" s="27"/>
      <c r="D24" s="27"/>
      <c r="E24" s="27"/>
    </row>
    <row r="25" spans="1:5">
      <c r="B25" s="63" t="s">
        <v>283</v>
      </c>
      <c r="C25" s="72">
        <f>+C15-C23</f>
        <v>0</v>
      </c>
      <c r="D25" s="27"/>
      <c r="E25" s="72">
        <f>+E15-E23</f>
        <v>0</v>
      </c>
    </row>
    <row r="26" spans="1:5">
      <c r="A26" s="25"/>
      <c r="B26" s="25"/>
      <c r="C26" s="27"/>
      <c r="D26" s="27"/>
      <c r="E26" s="27"/>
    </row>
    <row r="27" spans="1:5">
      <c r="A27" s="63" t="s">
        <v>284</v>
      </c>
      <c r="B27" s="63"/>
      <c r="C27" s="27"/>
      <c r="D27" s="27"/>
      <c r="E27" s="27"/>
    </row>
    <row r="28" spans="1:5">
      <c r="A28" s="27" t="s">
        <v>285</v>
      </c>
      <c r="B28" s="27"/>
      <c r="C28" s="27">
        <f>+'W&amp;S OS'!C20</f>
        <v>0</v>
      </c>
      <c r="D28" s="27"/>
      <c r="E28" s="27">
        <v>0</v>
      </c>
    </row>
    <row r="29" spans="1:5">
      <c r="A29" s="27" t="s">
        <v>166</v>
      </c>
      <c r="B29" s="27"/>
      <c r="C29" s="27">
        <f>+'W&amp;S OS'!C21</f>
        <v>0</v>
      </c>
      <c r="D29" s="27"/>
      <c r="E29" s="27">
        <v>0</v>
      </c>
    </row>
    <row r="30" spans="1:5">
      <c r="A30" s="25"/>
      <c r="B30" s="25" t="s">
        <v>455</v>
      </c>
      <c r="C30" s="37">
        <f>+C29+C28</f>
        <v>0</v>
      </c>
      <c r="D30" s="25"/>
      <c r="E30" s="37">
        <f>+E29+E28</f>
        <v>0</v>
      </c>
    </row>
    <row r="31" spans="1:5">
      <c r="A31" s="25"/>
      <c r="B31" s="25"/>
      <c r="C31" s="25"/>
      <c r="D31" s="25"/>
      <c r="E31" s="27"/>
    </row>
    <row r="32" spans="1:5">
      <c r="B32" s="63" t="s">
        <v>287</v>
      </c>
      <c r="C32" s="25">
        <f>+C25+C30</f>
        <v>0</v>
      </c>
      <c r="D32" s="25"/>
      <c r="E32" s="25">
        <f>+E25+E30</f>
        <v>0</v>
      </c>
    </row>
    <row r="33" spans="1:5">
      <c r="A33" s="25"/>
      <c r="B33" s="25"/>
      <c r="C33" s="25"/>
      <c r="D33" s="25"/>
      <c r="E33" s="27"/>
    </row>
    <row r="34" spans="1:5">
      <c r="A34" s="25" t="s">
        <v>288</v>
      </c>
      <c r="B34" s="25"/>
      <c r="C34" s="25">
        <f>+'W&amp;S OS'!E25</f>
        <v>0</v>
      </c>
      <c r="D34" s="25"/>
      <c r="E34" s="27">
        <v>0</v>
      </c>
    </row>
    <row r="35" spans="1:5">
      <c r="A35" s="25"/>
      <c r="B35" s="25"/>
      <c r="C35" s="28"/>
      <c r="D35" s="25"/>
      <c r="E35" s="29"/>
    </row>
    <row r="36" spans="1:5">
      <c r="B36" s="63" t="s">
        <v>190</v>
      </c>
      <c r="C36" s="25">
        <f>+C34+C32</f>
        <v>0</v>
      </c>
      <c r="D36" s="25"/>
      <c r="E36" s="25">
        <f>+E34+E32</f>
        <v>0</v>
      </c>
    </row>
    <row r="37" spans="1:5">
      <c r="A37" s="25"/>
      <c r="B37" s="25"/>
      <c r="C37" s="25"/>
      <c r="D37" s="25"/>
      <c r="E37" s="27"/>
    </row>
    <row r="38" spans="1:5">
      <c r="A38" s="63" t="s">
        <v>289</v>
      </c>
      <c r="B38" s="63"/>
      <c r="C38" s="25">
        <f>+'W&amp;S OS'!E29</f>
        <v>0</v>
      </c>
      <c r="D38" s="25"/>
      <c r="E38" s="27">
        <f>+'CCN OS'!F17</f>
        <v>772000</v>
      </c>
    </row>
    <row r="39" spans="1:5" ht="14" thickBot="1">
      <c r="A39" s="63" t="s">
        <v>290</v>
      </c>
      <c r="B39" s="63"/>
      <c r="C39" s="99">
        <f>+C38+C36</f>
        <v>0</v>
      </c>
      <c r="D39" s="25"/>
      <c r="E39" s="99">
        <f>+E38+E36</f>
        <v>772000</v>
      </c>
    </row>
    <row r="40" spans="1:5" ht="14" thickTop="1">
      <c r="A40" s="25"/>
      <c r="B40" s="25"/>
      <c r="C40" s="25"/>
      <c r="D40" s="25"/>
      <c r="E40" s="25"/>
    </row>
  </sheetData>
  <mergeCells count="4">
    <mergeCell ref="A1:E1"/>
    <mergeCell ref="A2:E2"/>
    <mergeCell ref="A3:E3"/>
    <mergeCell ref="A4:E4"/>
  </mergeCells>
  <pageMargins left="0.7" right="0.7" top="0.75" bottom="0.75" header="0.3" footer="0.3"/>
  <pageSetup orientation="portrait" horizontalDpi="1200" verticalDpi="1200"/>
  <extLst>
    <ext xmlns:mx="http://schemas.microsoft.com/office/mac/excel/2008/main" uri="{64002731-A6B0-56B0-2670-7721B7C09600}">
      <mx:PLV Mode="0" OnePage="0" WScale="0"/>
    </ext>
  </extLst>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G58"/>
  <sheetViews>
    <sheetView workbookViewId="0">
      <selection activeCell="A2" sqref="A2:G2"/>
    </sheetView>
  </sheetViews>
  <sheetFormatPr baseColWidth="10" defaultColWidth="8.5703125" defaultRowHeight="13" x14ac:dyDescent="0"/>
  <cols>
    <col min="1" max="3" width="2.5703125" style="24" customWidth="1"/>
    <col min="4" max="4" width="24.42578125" style="24" customWidth="1"/>
    <col min="5" max="5" width="12.5703125" style="24" customWidth="1"/>
    <col min="6" max="6" width="1.5703125" style="24" customWidth="1"/>
    <col min="7" max="7" width="12.5703125" style="24" customWidth="1"/>
    <col min="8" max="16384" width="8.5703125" style="24"/>
  </cols>
  <sheetData>
    <row r="1" spans="1:7">
      <c r="A1" s="154" t="s">
        <v>56</v>
      </c>
      <c r="B1" s="154"/>
      <c r="C1" s="154"/>
      <c r="D1" s="154"/>
      <c r="E1" s="154"/>
      <c r="F1" s="154"/>
      <c r="G1" s="154"/>
    </row>
    <row r="2" spans="1:7">
      <c r="A2" s="154" t="s">
        <v>442</v>
      </c>
      <c r="B2" s="154"/>
      <c r="C2" s="154"/>
      <c r="D2" s="154"/>
      <c r="E2" s="154"/>
      <c r="F2" s="154"/>
      <c r="G2" s="154"/>
    </row>
    <row r="3" spans="1:7">
      <c r="A3" s="154" t="s">
        <v>291</v>
      </c>
      <c r="B3" s="154"/>
      <c r="C3" s="154"/>
      <c r="D3" s="154"/>
      <c r="E3" s="154"/>
      <c r="F3" s="154"/>
      <c r="G3" s="154"/>
    </row>
    <row r="4" spans="1:7">
      <c r="A4" s="154" t="s">
        <v>89</v>
      </c>
      <c r="B4" s="154"/>
      <c r="C4" s="154"/>
      <c r="D4" s="154"/>
      <c r="E4" s="154"/>
      <c r="F4" s="154"/>
      <c r="G4" s="154"/>
    </row>
    <row r="6" spans="1:7">
      <c r="E6" s="147"/>
      <c r="F6" s="147"/>
      <c r="G6" s="147" t="s">
        <v>443</v>
      </c>
    </row>
    <row r="7" spans="1:7">
      <c r="E7" s="147" t="s">
        <v>444</v>
      </c>
      <c r="F7" s="147"/>
      <c r="G7" s="147" t="s">
        <v>445</v>
      </c>
    </row>
    <row r="8" spans="1:7">
      <c r="E8" s="147" t="s">
        <v>446</v>
      </c>
      <c r="F8" s="147"/>
      <c r="G8" s="147" t="s">
        <v>447</v>
      </c>
    </row>
    <row r="9" spans="1:7">
      <c r="E9" s="147" t="s">
        <v>448</v>
      </c>
      <c r="F9" s="147"/>
      <c r="G9" s="147" t="s">
        <v>449</v>
      </c>
    </row>
    <row r="10" spans="1:7">
      <c r="E10" s="147" t="s">
        <v>422</v>
      </c>
      <c r="F10" s="147"/>
      <c r="G10" s="147" t="s">
        <v>422</v>
      </c>
    </row>
    <row r="12" spans="1:7">
      <c r="A12" s="154" t="s">
        <v>292</v>
      </c>
      <c r="B12" s="154"/>
      <c r="C12" s="154"/>
      <c r="D12" s="154"/>
      <c r="E12" s="100"/>
      <c r="F12" s="100"/>
      <c r="G12" s="100"/>
    </row>
    <row r="13" spans="1:7">
      <c r="A13" s="63" t="s">
        <v>293</v>
      </c>
      <c r="B13" s="63"/>
      <c r="C13" s="63"/>
      <c r="D13" s="63"/>
      <c r="E13" s="25"/>
      <c r="F13" s="25"/>
      <c r="G13" s="25"/>
    </row>
    <row r="14" spans="1:7">
      <c r="A14" s="25" t="s">
        <v>14</v>
      </c>
      <c r="B14" s="25"/>
      <c r="C14" s="25"/>
      <c r="D14" s="25"/>
      <c r="E14" s="75">
        <f>+'W&amp;S SNP'!G8</f>
        <v>0</v>
      </c>
      <c r="F14" s="59"/>
      <c r="G14" s="75">
        <f>+'CCN SNP'!D8</f>
        <v>0</v>
      </c>
    </row>
    <row r="15" spans="1:7">
      <c r="A15" s="25" t="s">
        <v>294</v>
      </c>
      <c r="B15" s="25"/>
      <c r="C15" s="25"/>
      <c r="D15" s="25"/>
      <c r="E15" s="31">
        <f>+'W&amp;S SNP'!G9</f>
        <v>0</v>
      </c>
      <c r="F15" s="25"/>
      <c r="G15" s="31">
        <f>+'CCN SNP'!D9</f>
        <v>0</v>
      </c>
    </row>
    <row r="16" spans="1:7">
      <c r="A16" s="25" t="s">
        <v>379</v>
      </c>
      <c r="B16" s="25"/>
      <c r="C16" s="25"/>
      <c r="D16" s="25"/>
      <c r="E16" s="31">
        <v>0</v>
      </c>
      <c r="F16" s="25"/>
      <c r="G16" s="31">
        <f>+'CCN SNP'!D10</f>
        <v>0</v>
      </c>
    </row>
    <row r="17" spans="1:7">
      <c r="A17" s="25" t="s">
        <v>16</v>
      </c>
      <c r="B17" s="25"/>
      <c r="C17" s="25"/>
      <c r="D17" s="25"/>
      <c r="E17" s="31">
        <f>+'W&amp;S SNP'!G10</f>
        <v>0</v>
      </c>
      <c r="F17" s="25"/>
      <c r="G17" s="24">
        <v>0</v>
      </c>
    </row>
    <row r="18" spans="1:7">
      <c r="A18" s="25" t="s">
        <v>295</v>
      </c>
      <c r="B18" s="25"/>
      <c r="C18" s="25"/>
      <c r="D18" s="25"/>
      <c r="E18" s="31"/>
      <c r="F18" s="25"/>
      <c r="G18" s="27"/>
    </row>
    <row r="19" spans="1:7">
      <c r="B19" s="25" t="s">
        <v>456</v>
      </c>
      <c r="D19" s="25"/>
      <c r="E19" s="31">
        <f>+'W&amp;S SNP'!G12</f>
        <v>0</v>
      </c>
      <c r="F19" s="25"/>
      <c r="G19" s="27">
        <v>0</v>
      </c>
    </row>
    <row r="20" spans="1:7">
      <c r="A20" s="25" t="s">
        <v>98</v>
      </c>
      <c r="B20" s="25"/>
      <c r="C20" s="25"/>
      <c r="D20" s="25"/>
      <c r="E20" s="31">
        <f>+'W&amp;S SNP'!G13</f>
        <v>0</v>
      </c>
      <c r="F20" s="25"/>
      <c r="G20" s="31">
        <f>+'CCN SNP'!D11</f>
        <v>0</v>
      </c>
    </row>
    <row r="21" spans="1:7">
      <c r="B21" s="25" t="s">
        <v>297</v>
      </c>
      <c r="C21" s="25"/>
      <c r="D21" s="25"/>
      <c r="E21" s="37">
        <f>SUM(E14:E20)</f>
        <v>0</v>
      </c>
      <c r="F21" s="25"/>
      <c r="G21" s="37">
        <f>SUM(G14:G20)</f>
        <v>0</v>
      </c>
    </row>
    <row r="22" spans="1:7">
      <c r="A22" s="25"/>
      <c r="B22" s="25"/>
      <c r="C22" s="25"/>
      <c r="D22" s="25"/>
      <c r="E22" s="25"/>
      <c r="F22" s="25"/>
      <c r="G22" s="25"/>
    </row>
    <row r="23" spans="1:7">
      <c r="A23" s="63" t="s">
        <v>298</v>
      </c>
      <c r="B23" s="63"/>
      <c r="C23" s="63"/>
      <c r="D23" s="63"/>
      <c r="E23" s="25"/>
      <c r="F23" s="25"/>
      <c r="G23" s="25"/>
    </row>
    <row r="24" spans="1:7">
      <c r="A24" s="63" t="s">
        <v>299</v>
      </c>
      <c r="B24" s="63"/>
      <c r="C24" s="63"/>
      <c r="D24" s="63"/>
      <c r="E24" s="25"/>
      <c r="F24" s="25"/>
      <c r="G24" s="25"/>
    </row>
    <row r="25" spans="1:7">
      <c r="B25" s="25" t="s">
        <v>300</v>
      </c>
      <c r="C25" s="25"/>
      <c r="D25" s="25"/>
      <c r="E25" s="82">
        <f>+'W&amp;S SNP'!I18</f>
        <v>0</v>
      </c>
      <c r="F25" s="25"/>
      <c r="G25" s="82">
        <v>0</v>
      </c>
    </row>
    <row r="26" spans="1:7">
      <c r="A26" s="25"/>
      <c r="B26" s="25"/>
      <c r="C26" s="25"/>
      <c r="D26" s="25"/>
      <c r="E26" s="25"/>
      <c r="F26" s="25"/>
      <c r="G26" s="25"/>
    </row>
    <row r="27" spans="1:7">
      <c r="A27" s="63" t="s">
        <v>301</v>
      </c>
      <c r="B27" s="63"/>
      <c r="C27" s="63"/>
      <c r="D27" s="63"/>
      <c r="E27" s="25"/>
      <c r="F27" s="25"/>
      <c r="G27" s="25"/>
    </row>
    <row r="28" spans="1:7">
      <c r="A28" s="27" t="s">
        <v>174</v>
      </c>
      <c r="B28" s="27"/>
      <c r="C28" s="27"/>
      <c r="D28" s="27"/>
      <c r="E28" s="25">
        <f>+'W&amp;S SNP'!G21</f>
        <v>0</v>
      </c>
      <c r="F28" s="25"/>
      <c r="G28" s="27">
        <v>0</v>
      </c>
    </row>
    <row r="29" spans="1:7">
      <c r="A29" s="27" t="s">
        <v>457</v>
      </c>
      <c r="B29" s="27"/>
      <c r="C29" s="27"/>
      <c r="D29" s="27"/>
      <c r="E29" s="31">
        <f>+'W&amp;S SNP'!G23</f>
        <v>0</v>
      </c>
      <c r="F29" s="31"/>
      <c r="G29" s="25">
        <f>+'CCN SNP'!F17</f>
        <v>0</v>
      </c>
    </row>
    <row r="30" spans="1:7">
      <c r="A30" s="27" t="s">
        <v>458</v>
      </c>
      <c r="B30" s="27"/>
      <c r="C30" s="27"/>
      <c r="D30" s="27"/>
      <c r="E30" s="27">
        <f>+'W&amp;S SNP'!G25</f>
        <v>0</v>
      </c>
      <c r="F30" s="27"/>
      <c r="G30" s="25">
        <v>0</v>
      </c>
    </row>
    <row r="31" spans="1:7">
      <c r="A31" s="27" t="s">
        <v>459</v>
      </c>
      <c r="B31" s="27"/>
      <c r="C31" s="27"/>
      <c r="D31" s="27"/>
      <c r="E31" s="27">
        <f>+'W&amp;S SNP'!G27</f>
        <v>0</v>
      </c>
      <c r="F31" s="27"/>
      <c r="G31" s="25">
        <v>0</v>
      </c>
    </row>
    <row r="32" spans="1:7">
      <c r="A32" s="25" t="s">
        <v>460</v>
      </c>
      <c r="B32" s="25"/>
      <c r="C32" s="25"/>
      <c r="D32" s="25"/>
      <c r="E32" s="28">
        <f>SUM(E28:E31)</f>
        <v>0</v>
      </c>
      <c r="F32" s="25"/>
      <c r="G32" s="28">
        <f>SUM(G28:G31)</f>
        <v>0</v>
      </c>
    </row>
    <row r="33" spans="1:7">
      <c r="A33" s="25"/>
      <c r="B33" s="25" t="s">
        <v>306</v>
      </c>
      <c r="C33" s="25"/>
      <c r="D33" s="25"/>
      <c r="E33" s="37">
        <f>+E32+E25</f>
        <v>0</v>
      </c>
      <c r="F33" s="25"/>
      <c r="G33" s="37">
        <f>+G32+G25</f>
        <v>0</v>
      </c>
    </row>
    <row r="34" spans="1:7">
      <c r="A34" s="25"/>
      <c r="B34" s="25" t="s">
        <v>100</v>
      </c>
      <c r="C34" s="25"/>
      <c r="D34" s="25"/>
      <c r="E34" s="82">
        <f>+E33+E21</f>
        <v>0</v>
      </c>
      <c r="F34" s="25"/>
      <c r="G34" s="82">
        <f>+G33+G21</f>
        <v>0</v>
      </c>
    </row>
    <row r="35" spans="1:7">
      <c r="A35" s="25"/>
      <c r="B35" s="25"/>
      <c r="C35" s="25"/>
      <c r="D35" s="25"/>
      <c r="E35" s="25"/>
      <c r="F35" s="25"/>
      <c r="G35" s="25"/>
    </row>
    <row r="36" spans="1:7">
      <c r="A36" s="153" t="s">
        <v>307</v>
      </c>
      <c r="B36" s="153"/>
      <c r="C36" s="153"/>
      <c r="D36" s="153"/>
      <c r="E36" s="81"/>
      <c r="F36" s="81"/>
      <c r="G36" s="81"/>
    </row>
    <row r="37" spans="1:7">
      <c r="A37" s="63" t="s">
        <v>308</v>
      </c>
      <c r="B37" s="63"/>
      <c r="C37" s="63"/>
      <c r="D37" s="63"/>
      <c r="E37" s="25"/>
      <c r="F37" s="25"/>
      <c r="G37" s="25"/>
    </row>
    <row r="38" spans="1:7">
      <c r="A38" s="25" t="s">
        <v>103</v>
      </c>
      <c r="B38" s="25"/>
      <c r="C38" s="25"/>
      <c r="D38" s="25"/>
      <c r="E38" s="25">
        <f>+'W&amp;S SNP'!G34</f>
        <v>0</v>
      </c>
      <c r="F38" s="25"/>
      <c r="G38" s="31">
        <f>+'CCN SNP'!D23</f>
        <v>0</v>
      </c>
    </row>
    <row r="39" spans="1:7">
      <c r="A39" s="25" t="s">
        <v>309</v>
      </c>
      <c r="B39" s="25"/>
      <c r="C39" s="25"/>
      <c r="D39" s="25"/>
      <c r="E39" s="25">
        <f>+'W&amp;S SNP'!G35</f>
        <v>0</v>
      </c>
      <c r="F39" s="25"/>
      <c r="G39" s="24">
        <v>0</v>
      </c>
    </row>
    <row r="40" spans="1:7">
      <c r="A40" s="25" t="s">
        <v>28</v>
      </c>
      <c r="B40" s="25"/>
      <c r="C40" s="25"/>
      <c r="D40" s="25"/>
      <c r="E40" s="25">
        <f>+'W&amp;S SNP'!G36</f>
        <v>0</v>
      </c>
      <c r="F40" s="25"/>
      <c r="G40" s="27">
        <v>0</v>
      </c>
    </row>
    <row r="41" spans="1:7">
      <c r="A41" s="25" t="s">
        <v>104</v>
      </c>
      <c r="B41" s="25"/>
      <c r="C41" s="25"/>
      <c r="D41" s="25"/>
      <c r="E41" s="25">
        <f>+'W&amp;S SNP'!G37</f>
        <v>0</v>
      </c>
      <c r="F41" s="25"/>
      <c r="G41" s="31">
        <f>+'CCN SNP'!D24</f>
        <v>0</v>
      </c>
    </row>
    <row r="42" spans="1:7">
      <c r="A42" s="25" t="s">
        <v>310</v>
      </c>
      <c r="B42" s="25"/>
      <c r="C42" s="25"/>
      <c r="D42" s="25"/>
      <c r="E42" s="25">
        <f>+'W&amp;S SNP'!G38</f>
        <v>0</v>
      </c>
      <c r="F42" s="25"/>
      <c r="G42" s="27">
        <v>0</v>
      </c>
    </row>
    <row r="43" spans="1:7">
      <c r="A43" s="25" t="s">
        <v>311</v>
      </c>
      <c r="B43" s="25"/>
      <c r="C43" s="25"/>
      <c r="D43" s="25"/>
      <c r="E43" s="37">
        <f>SUM(E38:E42)</f>
        <v>0</v>
      </c>
      <c r="F43" s="25"/>
      <c r="G43" s="37">
        <f>SUM(G38:G42)</f>
        <v>0</v>
      </c>
    </row>
    <row r="44" spans="1:7">
      <c r="A44" s="25"/>
      <c r="B44" s="25"/>
      <c r="C44" s="25"/>
      <c r="D44" s="25"/>
      <c r="E44" s="25"/>
      <c r="F44" s="25"/>
      <c r="G44" s="27"/>
    </row>
    <row r="45" spans="1:7">
      <c r="A45" s="63" t="s">
        <v>312</v>
      </c>
      <c r="B45" s="25"/>
      <c r="C45" s="25"/>
      <c r="D45" s="25"/>
      <c r="E45" s="25"/>
      <c r="F45" s="25"/>
      <c r="G45" s="27"/>
    </row>
    <row r="46" spans="1:7">
      <c r="A46" s="25" t="s">
        <v>313</v>
      </c>
      <c r="B46" s="25"/>
      <c r="C46" s="25"/>
      <c r="D46" s="25"/>
      <c r="E46" s="25">
        <f>+'W&amp;S SNP'!G42</f>
        <v>0</v>
      </c>
      <c r="F46" s="25"/>
      <c r="G46" s="27">
        <v>0</v>
      </c>
    </row>
    <row r="47" spans="1:7">
      <c r="A47" s="27" t="s">
        <v>310</v>
      </c>
      <c r="B47" s="27"/>
      <c r="C47" s="27"/>
      <c r="D47" s="27"/>
      <c r="E47" s="25">
        <f>+'W&amp;S SNP'!G43</f>
        <v>0</v>
      </c>
      <c r="F47" s="25"/>
      <c r="G47" s="27">
        <v>0</v>
      </c>
    </row>
    <row r="48" spans="1:7">
      <c r="A48" s="27" t="s">
        <v>314</v>
      </c>
      <c r="B48" s="27"/>
      <c r="C48" s="27"/>
      <c r="D48" s="27"/>
      <c r="E48" s="25">
        <f>+'W&amp;S SNP'!G44</f>
        <v>0</v>
      </c>
      <c r="F48" s="25"/>
      <c r="G48" s="27">
        <v>0</v>
      </c>
    </row>
    <row r="49" spans="1:7">
      <c r="A49" s="25" t="s">
        <v>315</v>
      </c>
      <c r="B49" s="25"/>
      <c r="C49" s="25"/>
      <c r="D49" s="25"/>
      <c r="E49" s="37">
        <f>SUM(E46:E48)</f>
        <v>0</v>
      </c>
      <c r="F49" s="25"/>
      <c r="G49" s="37">
        <f>SUM(G46:G48)</f>
        <v>0</v>
      </c>
    </row>
    <row r="50" spans="1:7">
      <c r="A50" s="27" t="s">
        <v>316</v>
      </c>
      <c r="B50" s="27"/>
      <c r="C50" s="27"/>
      <c r="D50" s="27"/>
      <c r="E50" s="37">
        <f>+E49+E43</f>
        <v>0</v>
      </c>
      <c r="F50" s="25"/>
      <c r="G50" s="37">
        <f>+G49+G43</f>
        <v>0</v>
      </c>
    </row>
    <row r="51" spans="1:7">
      <c r="A51" s="27"/>
      <c r="B51" s="27"/>
      <c r="C51" s="27"/>
      <c r="D51" s="27"/>
      <c r="E51" s="25"/>
      <c r="F51" s="25"/>
      <c r="G51" s="27"/>
    </row>
    <row r="52" spans="1:7">
      <c r="A52" s="155" t="s">
        <v>317</v>
      </c>
      <c r="B52" s="155"/>
      <c r="C52" s="155"/>
      <c r="D52" s="155"/>
      <c r="E52" s="101"/>
      <c r="F52" s="101"/>
      <c r="G52" s="101"/>
    </row>
    <row r="53" spans="1:7">
      <c r="A53" s="27" t="s">
        <v>318</v>
      </c>
      <c r="B53" s="27"/>
      <c r="C53" s="27"/>
      <c r="D53" s="27"/>
      <c r="E53" s="25">
        <f>+'W&amp;S SNP'!G49</f>
        <v>0</v>
      </c>
      <c r="F53" s="25"/>
      <c r="G53" s="27">
        <f>+'CCN SNP'!D28</f>
        <v>0</v>
      </c>
    </row>
    <row r="54" spans="1:7">
      <c r="A54" s="25" t="s">
        <v>326</v>
      </c>
      <c r="B54" s="25"/>
      <c r="C54" s="25"/>
      <c r="D54" s="25"/>
      <c r="E54" s="25">
        <f>+'W&amp;S SNP'!G50</f>
        <v>0</v>
      </c>
      <c r="F54" s="25"/>
      <c r="G54" s="27">
        <f>+'CCN SNP'!D29</f>
        <v>0</v>
      </c>
    </row>
    <row r="55" spans="1:7" ht="14" thickBot="1">
      <c r="A55" s="25" t="s">
        <v>319</v>
      </c>
      <c r="B55" s="25"/>
      <c r="C55" s="25"/>
      <c r="D55" s="25"/>
      <c r="E55" s="99">
        <f>SUM(E53:E54)</f>
        <v>0</v>
      </c>
      <c r="F55" s="25"/>
      <c r="G55" s="99">
        <f>SUM(G53:G54)</f>
        <v>0</v>
      </c>
    </row>
    <row r="56" spans="1:7" ht="14" thickTop="1">
      <c r="A56" s="25"/>
      <c r="B56" s="25"/>
      <c r="C56" s="25"/>
      <c r="D56" s="25"/>
      <c r="E56" s="25"/>
      <c r="F56" s="25"/>
      <c r="G56" s="27"/>
    </row>
    <row r="57" spans="1:7">
      <c r="A57" s="25"/>
      <c r="B57" s="25"/>
      <c r="C57" s="25"/>
      <c r="D57" s="25"/>
      <c r="E57" s="25"/>
      <c r="F57" s="25"/>
      <c r="G57" s="27"/>
    </row>
    <row r="58" spans="1:7">
      <c r="A58" s="25"/>
      <c r="B58" s="25"/>
      <c r="C58" s="25"/>
      <c r="D58" s="25"/>
      <c r="E58" s="25"/>
      <c r="F58" s="25"/>
      <c r="G58" s="25"/>
    </row>
  </sheetData>
  <mergeCells count="7">
    <mergeCell ref="A36:D36"/>
    <mergeCell ref="A52:D52"/>
    <mergeCell ref="A12:D12"/>
    <mergeCell ref="A1:G1"/>
    <mergeCell ref="A2:G2"/>
    <mergeCell ref="A3:G3"/>
    <mergeCell ref="A4:G4"/>
  </mergeCells>
  <pageMargins left="0.7" right="0.7" top="0.75" bottom="0.75" header="0.3" footer="0.3"/>
  <extLst>
    <ext xmlns:mx="http://schemas.microsoft.com/office/mac/excel/2008/main" uri="{64002731-A6B0-56B0-2670-7721B7C09600}">
      <mx:PLV Mode="0" OnePage="0" WScale="0"/>
    </ext>
  </extLst>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N51"/>
  <sheetViews>
    <sheetView workbookViewId="0">
      <pane xSplit="3" ySplit="9" topLeftCell="D10" activePane="bottomRight" state="frozen"/>
      <selection pane="topRight" activeCell="D1" sqref="D1"/>
      <selection pane="bottomLeft" activeCell="A10" sqref="A10"/>
      <selection pane="bottomRight" sqref="A1:N1"/>
    </sheetView>
  </sheetViews>
  <sheetFormatPr baseColWidth="10" defaultColWidth="8.5703125" defaultRowHeight="13" x14ac:dyDescent="0"/>
  <cols>
    <col min="1" max="2" width="2.5703125" style="24" customWidth="1"/>
    <col min="3" max="3" width="37.5703125" style="24" customWidth="1"/>
    <col min="4" max="4" width="11.5703125" style="24" customWidth="1"/>
    <col min="5" max="5" width="0.85546875" style="24" customWidth="1"/>
    <col min="6" max="6" width="11.5703125" style="24" customWidth="1"/>
    <col min="7" max="7" width="0.85546875" style="24" customWidth="1"/>
    <col min="8" max="8" width="11.5703125" style="24" customWidth="1"/>
    <col min="9" max="9" width="0.85546875" style="24" customWidth="1"/>
    <col min="10" max="10" width="11.5703125" style="24" customWidth="1"/>
    <col min="11" max="11" width="0.85546875" style="24" customWidth="1"/>
    <col min="12" max="12" width="11.5703125" style="24" customWidth="1"/>
    <col min="13" max="13" width="0.85546875" style="24" customWidth="1"/>
    <col min="14" max="14" width="11.5703125" style="24" customWidth="1"/>
    <col min="15" max="15" width="2.5703125" style="24" customWidth="1"/>
    <col min="16" max="16384" width="8.5703125" style="24"/>
  </cols>
  <sheetData>
    <row r="1" spans="1:14">
      <c r="A1" s="158" t="s">
        <v>56</v>
      </c>
      <c r="B1" s="158"/>
      <c r="C1" s="158"/>
      <c r="D1" s="158"/>
      <c r="E1" s="158"/>
      <c r="F1" s="158"/>
      <c r="G1" s="158"/>
      <c r="H1" s="158"/>
      <c r="I1" s="158"/>
      <c r="J1" s="158"/>
      <c r="K1" s="158"/>
      <c r="L1" s="158"/>
      <c r="M1" s="158"/>
      <c r="N1" s="158"/>
    </row>
    <row r="2" spans="1:14">
      <c r="A2" s="158" t="s">
        <v>414</v>
      </c>
      <c r="B2" s="158"/>
      <c r="C2" s="158"/>
      <c r="D2" s="158"/>
      <c r="E2" s="158"/>
      <c r="F2" s="158"/>
      <c r="G2" s="158"/>
      <c r="H2" s="158"/>
      <c r="I2" s="158"/>
      <c r="J2" s="158"/>
      <c r="K2" s="158"/>
      <c r="L2" s="158"/>
      <c r="M2" s="158"/>
      <c r="N2" s="158"/>
    </row>
    <row r="3" spans="1:14">
      <c r="A3" s="158" t="s">
        <v>461</v>
      </c>
      <c r="B3" s="158"/>
      <c r="C3" s="158"/>
      <c r="D3" s="158"/>
      <c r="E3" s="158"/>
      <c r="F3" s="158"/>
      <c r="G3" s="158"/>
      <c r="H3" s="158"/>
      <c r="I3" s="158"/>
      <c r="J3" s="158"/>
      <c r="K3" s="158"/>
      <c r="L3" s="158"/>
      <c r="M3" s="158"/>
      <c r="N3" s="158"/>
    </row>
    <row r="4" spans="1:14">
      <c r="A4" s="158" t="s">
        <v>59</v>
      </c>
      <c r="B4" s="158"/>
      <c r="C4" s="158"/>
      <c r="D4" s="158"/>
      <c r="E4" s="158"/>
      <c r="F4" s="158"/>
      <c r="G4" s="158"/>
      <c r="H4" s="158"/>
      <c r="I4" s="158"/>
      <c r="J4" s="158"/>
      <c r="K4" s="158"/>
      <c r="L4" s="158"/>
      <c r="M4" s="158"/>
      <c r="N4" s="158"/>
    </row>
    <row r="5" spans="1:14">
      <c r="A5" s="25"/>
      <c r="B5" s="25"/>
      <c r="C5" s="25"/>
    </row>
    <row r="6" spans="1:14">
      <c r="A6" s="25"/>
      <c r="B6" s="25"/>
      <c r="C6" s="25"/>
      <c r="F6" s="142"/>
      <c r="G6" s="142"/>
      <c r="H6" s="142"/>
      <c r="I6" s="142"/>
      <c r="J6" s="142"/>
      <c r="K6" s="142"/>
      <c r="L6" s="142"/>
      <c r="M6" s="142"/>
      <c r="N6" s="142" t="s">
        <v>417</v>
      </c>
    </row>
    <row r="7" spans="1:14">
      <c r="A7" s="25"/>
      <c r="B7" s="25"/>
      <c r="C7" s="25"/>
      <c r="D7" s="142" t="s">
        <v>417</v>
      </c>
      <c r="F7" s="142" t="s">
        <v>462</v>
      </c>
      <c r="G7" s="142"/>
      <c r="H7" s="142"/>
      <c r="I7" s="142"/>
      <c r="J7" s="142"/>
      <c r="K7" s="142"/>
      <c r="L7" s="142" t="s">
        <v>463</v>
      </c>
      <c r="M7" s="142"/>
      <c r="N7" s="142" t="s">
        <v>464</v>
      </c>
    </row>
    <row r="8" spans="1:14">
      <c r="A8" s="25"/>
      <c r="B8" s="25"/>
      <c r="C8" s="25"/>
      <c r="D8" s="142" t="s">
        <v>421</v>
      </c>
      <c r="F8" s="142" t="s">
        <v>465</v>
      </c>
      <c r="G8" s="142"/>
      <c r="H8" s="142" t="s">
        <v>466</v>
      </c>
      <c r="I8" s="142"/>
      <c r="J8" s="141" t="s">
        <v>467</v>
      </c>
      <c r="K8" s="142"/>
      <c r="L8" s="142" t="s">
        <v>468</v>
      </c>
      <c r="M8" s="142"/>
      <c r="N8" s="142" t="s">
        <v>469</v>
      </c>
    </row>
    <row r="9" spans="1:14">
      <c r="A9" s="25"/>
      <c r="B9" s="25"/>
      <c r="C9" s="25"/>
      <c r="D9" s="142" t="s">
        <v>193</v>
      </c>
      <c r="F9" s="142" t="s">
        <v>421</v>
      </c>
      <c r="G9" s="142"/>
      <c r="H9" s="142" t="s">
        <v>470</v>
      </c>
      <c r="I9" s="142"/>
      <c r="J9" s="141" t="s">
        <v>470</v>
      </c>
      <c r="K9" s="142"/>
      <c r="L9" s="142" t="s">
        <v>471</v>
      </c>
      <c r="M9" s="142"/>
      <c r="N9" s="142" t="s">
        <v>464</v>
      </c>
    </row>
    <row r="10" spans="1:14">
      <c r="A10" s="25" t="s">
        <v>60</v>
      </c>
      <c r="B10" s="25"/>
      <c r="C10" s="25"/>
      <c r="D10" s="28"/>
      <c r="F10" s="28"/>
      <c r="H10" s="28"/>
      <c r="J10" s="28"/>
      <c r="L10" s="28"/>
      <c r="N10" s="28"/>
    </row>
    <row r="11" spans="1:14">
      <c r="B11" s="25" t="s">
        <v>61</v>
      </c>
      <c r="C11" s="25"/>
      <c r="D11" s="76">
        <f>+'Gov Fund OS'!L10</f>
        <v>0</v>
      </c>
      <c r="L11" s="24">
        <f>+'Gen DSF'!H34-'Gen DSF'!J35</f>
        <v>1950</v>
      </c>
      <c r="N11" s="24">
        <f>SUM(D11:L11)</f>
        <v>1950</v>
      </c>
    </row>
    <row r="12" spans="1:14">
      <c r="B12" s="25" t="s">
        <v>426</v>
      </c>
      <c r="C12" s="25"/>
      <c r="D12" s="76">
        <f>+'Gov Fund OS'!L11</f>
        <v>0</v>
      </c>
      <c r="L12" s="24">
        <f>+'Gen DSF'!H37-'Gen DSF'!J38</f>
        <v>50</v>
      </c>
      <c r="N12" s="24">
        <f t="shared" ref="N12:N16" si="0">SUM(D12:L12)</f>
        <v>50</v>
      </c>
    </row>
    <row r="13" spans="1:14">
      <c r="B13" s="25" t="s">
        <v>427</v>
      </c>
      <c r="C13" s="25"/>
      <c r="D13" s="76">
        <f>+'Gov Fund OS'!L12</f>
        <v>0</v>
      </c>
      <c r="N13" s="24">
        <f t="shared" si="0"/>
        <v>0</v>
      </c>
    </row>
    <row r="14" spans="1:14">
      <c r="B14" s="25" t="s">
        <v>428</v>
      </c>
      <c r="C14" s="25"/>
      <c r="D14" s="76">
        <f>+'Gov Fund OS'!L13</f>
        <v>0</v>
      </c>
      <c r="N14" s="24">
        <f t="shared" si="0"/>
        <v>0</v>
      </c>
    </row>
    <row r="15" spans="1:14">
      <c r="B15" s="25" t="s">
        <v>65</v>
      </c>
      <c r="C15" s="25"/>
      <c r="D15" s="76">
        <f>+'Gov Fund OS'!L14</f>
        <v>0</v>
      </c>
      <c r="N15" s="24">
        <f t="shared" si="0"/>
        <v>0</v>
      </c>
    </row>
    <row r="16" spans="1:14">
      <c r="B16" s="25" t="s">
        <v>285</v>
      </c>
      <c r="C16" s="25"/>
      <c r="D16" s="76">
        <f>+'Gov Fund OS'!L15</f>
        <v>0</v>
      </c>
      <c r="N16" s="24">
        <f t="shared" si="0"/>
        <v>0</v>
      </c>
    </row>
    <row r="17" spans="1:14">
      <c r="B17" s="25"/>
      <c r="C17" s="25" t="s">
        <v>67</v>
      </c>
      <c r="D17" s="68">
        <f>SUM(D11:D16)</f>
        <v>0</v>
      </c>
      <c r="F17" s="68">
        <f>SUM(F11:F16)</f>
        <v>0</v>
      </c>
      <c r="H17" s="68">
        <f>SUM(H11:H16)</f>
        <v>0</v>
      </c>
      <c r="J17" s="68">
        <f>SUM(J11:J16)</f>
        <v>0</v>
      </c>
      <c r="L17" s="68">
        <f>SUM(L11:L16)</f>
        <v>2000</v>
      </c>
      <c r="N17" s="68">
        <f>SUM(N11:N16)</f>
        <v>2000</v>
      </c>
    </row>
    <row r="18" spans="1:14">
      <c r="A18" s="25"/>
      <c r="B18" s="25"/>
      <c r="C18" s="25"/>
    </row>
    <row r="19" spans="1:14">
      <c r="A19" s="25" t="s">
        <v>68</v>
      </c>
      <c r="B19" s="25"/>
      <c r="C19" s="25"/>
    </row>
    <row r="20" spans="1:14">
      <c r="A20" s="25" t="s">
        <v>69</v>
      </c>
      <c r="B20" s="25"/>
      <c r="C20" s="25"/>
    </row>
    <row r="21" spans="1:14">
      <c r="B21" s="25" t="s">
        <v>230</v>
      </c>
      <c r="C21" s="25"/>
      <c r="D21" s="24">
        <f>+'Gov Fund OS'!L20</f>
        <v>0</v>
      </c>
      <c r="H21" s="24">
        <f>+'CGA Note'!C29</f>
        <v>58000</v>
      </c>
      <c r="N21" s="24">
        <f t="shared" ref="N21:N33" si="1">SUM(D21:L21)</f>
        <v>58000</v>
      </c>
    </row>
    <row r="22" spans="1:14">
      <c r="B22" s="25" t="s">
        <v>231</v>
      </c>
      <c r="C22" s="25"/>
      <c r="D22" s="24">
        <f>+'Gov Fund OS'!L21</f>
        <v>0</v>
      </c>
      <c r="H22" s="24">
        <f>+'CGA Note'!C30</f>
        <v>160000</v>
      </c>
      <c r="N22" s="24">
        <f t="shared" si="1"/>
        <v>160000</v>
      </c>
    </row>
    <row r="23" spans="1:14">
      <c r="B23" s="25" t="s">
        <v>232</v>
      </c>
      <c r="C23" s="25"/>
      <c r="D23" s="24">
        <f>+'Gov Fund OS'!L22</f>
        <v>0</v>
      </c>
      <c r="H23" s="24">
        <f>+'CGA Note'!C31</f>
        <v>667000</v>
      </c>
      <c r="N23" s="24">
        <f t="shared" si="1"/>
        <v>667000</v>
      </c>
    </row>
    <row r="24" spans="1:14">
      <c r="B24" s="25" t="s">
        <v>233</v>
      </c>
      <c r="C24" s="25"/>
      <c r="D24" s="24">
        <f>+'Gov Fund OS'!L23</f>
        <v>0</v>
      </c>
      <c r="H24" s="24">
        <f>+'CGA Note'!C32</f>
        <v>65000</v>
      </c>
      <c r="J24" s="24">
        <f>+'GLTL N'!E16</f>
        <v>0</v>
      </c>
      <c r="N24" s="24">
        <f t="shared" si="1"/>
        <v>65000</v>
      </c>
    </row>
    <row r="25" spans="1:14">
      <c r="B25" s="25" t="s">
        <v>234</v>
      </c>
      <c r="C25" s="25"/>
      <c r="D25" s="24">
        <f>+'Gov Fund OS'!L24</f>
        <v>0</v>
      </c>
      <c r="H25" s="24">
        <f>+'CGA Note'!C33</f>
        <v>37000</v>
      </c>
      <c r="N25" s="24">
        <f t="shared" si="1"/>
        <v>37000</v>
      </c>
    </row>
    <row r="26" spans="1:14">
      <c r="B26" s="25" t="s">
        <v>472</v>
      </c>
      <c r="C26" s="25"/>
      <c r="D26" s="24">
        <f>+'Gov Fund OS'!L25</f>
        <v>0</v>
      </c>
      <c r="N26" s="24">
        <f t="shared" si="1"/>
        <v>0</v>
      </c>
    </row>
    <row r="27" spans="1:14">
      <c r="B27" s="25" t="s">
        <v>473</v>
      </c>
      <c r="C27" s="25"/>
      <c r="D27" s="24">
        <f>+'Gov Fund OS'!L26</f>
        <v>0</v>
      </c>
      <c r="N27" s="24">
        <f t="shared" si="1"/>
        <v>0</v>
      </c>
    </row>
    <row r="28" spans="1:14">
      <c r="A28" s="25" t="s">
        <v>75</v>
      </c>
      <c r="B28" s="25"/>
      <c r="C28" s="25"/>
      <c r="D28" s="24">
        <f>+'Gov Fund OS'!L27</f>
        <v>0</v>
      </c>
      <c r="H28" s="24">
        <f>-D28</f>
        <v>0</v>
      </c>
      <c r="N28" s="24">
        <f t="shared" si="1"/>
        <v>0</v>
      </c>
    </row>
    <row r="29" spans="1:14">
      <c r="A29" s="25" t="s">
        <v>429</v>
      </c>
      <c r="B29" s="25"/>
      <c r="C29" s="25"/>
      <c r="N29" s="24">
        <f t="shared" si="1"/>
        <v>0</v>
      </c>
    </row>
    <row r="30" spans="1:14">
      <c r="A30" s="25"/>
      <c r="B30" s="25" t="s">
        <v>430</v>
      </c>
      <c r="C30" s="25"/>
      <c r="D30" s="24">
        <f>+'Gov Fund OS'!L29</f>
        <v>0</v>
      </c>
      <c r="J30" s="24">
        <f>-D30</f>
        <v>0</v>
      </c>
      <c r="N30" s="24">
        <f t="shared" si="1"/>
        <v>0</v>
      </c>
    </row>
    <row r="31" spans="1:14">
      <c r="A31" s="25"/>
      <c r="B31" s="25" t="s">
        <v>166</v>
      </c>
      <c r="C31" s="25"/>
      <c r="D31" s="24">
        <f>+'Gov Fund OS'!L30</f>
        <v>0</v>
      </c>
      <c r="J31" s="24">
        <f>D32</f>
        <v>0</v>
      </c>
      <c r="L31" s="24">
        <f>+'GLTL '!I11</f>
        <v>-3330</v>
      </c>
      <c r="N31" s="24">
        <f t="shared" si="1"/>
        <v>-3330</v>
      </c>
    </row>
    <row r="32" spans="1:14">
      <c r="A32" s="25"/>
      <c r="B32" s="25" t="s">
        <v>431</v>
      </c>
      <c r="C32" s="25"/>
      <c r="D32" s="24">
        <f>+'Gov Fund OS'!L31</f>
        <v>0</v>
      </c>
      <c r="J32" s="24">
        <f>-D32</f>
        <v>0</v>
      </c>
      <c r="N32" s="24">
        <f t="shared" si="1"/>
        <v>0</v>
      </c>
    </row>
    <row r="33" spans="1:14">
      <c r="A33" s="25"/>
      <c r="B33" s="25" t="s">
        <v>432</v>
      </c>
      <c r="C33" s="25"/>
      <c r="D33" s="24">
        <f>+'Gov Fund OS'!L32</f>
        <v>0</v>
      </c>
      <c r="N33" s="24">
        <f t="shared" si="1"/>
        <v>0</v>
      </c>
    </row>
    <row r="34" spans="1:14">
      <c r="B34" s="25"/>
      <c r="C34" s="25" t="s">
        <v>76</v>
      </c>
      <c r="D34" s="36">
        <f>SUM(D21:D33)</f>
        <v>0</v>
      </c>
      <c r="F34" s="36">
        <f>SUM(F21:F33)</f>
        <v>0</v>
      </c>
      <c r="H34" s="36">
        <f>SUM(H21:H33)</f>
        <v>987000</v>
      </c>
      <c r="J34" s="36">
        <f>SUM(J22:J33)</f>
        <v>0</v>
      </c>
      <c r="L34" s="36">
        <f>SUM(L21:L33)</f>
        <v>-3330</v>
      </c>
      <c r="N34" s="36">
        <f>SUM(N21:N33)</f>
        <v>983670</v>
      </c>
    </row>
    <row r="35" spans="1:14">
      <c r="A35" s="25"/>
      <c r="B35" s="25"/>
      <c r="C35" s="25"/>
    </row>
    <row r="36" spans="1:14">
      <c r="A36" s="25" t="s">
        <v>78</v>
      </c>
      <c r="B36" s="25"/>
      <c r="C36" s="25"/>
    </row>
    <row r="37" spans="1:14">
      <c r="A37" s="25"/>
      <c r="B37" s="25" t="s">
        <v>145</v>
      </c>
      <c r="C37" s="25"/>
      <c r="D37" s="24">
        <f>+'Gov Fund OS'!L37</f>
        <v>0</v>
      </c>
      <c r="L37" s="24">
        <f>-D37</f>
        <v>0</v>
      </c>
      <c r="N37" s="24">
        <f>SUM(D37:L37)</f>
        <v>0</v>
      </c>
    </row>
    <row r="38" spans="1:14">
      <c r="B38" s="25" t="s">
        <v>79</v>
      </c>
      <c r="C38" s="25"/>
      <c r="D38" s="24">
        <f>+'Gov Fund OS'!L38</f>
        <v>0</v>
      </c>
      <c r="N38" s="24">
        <f t="shared" ref="N38:N47" si="2">SUM(D38:L38)</f>
        <v>0</v>
      </c>
    </row>
    <row r="39" spans="1:14">
      <c r="B39" s="25" t="s">
        <v>80</v>
      </c>
      <c r="C39" s="25"/>
      <c r="D39" s="24">
        <f>+'Gov Fund OS'!L39</f>
        <v>0</v>
      </c>
      <c r="H39" s="24">
        <f>+'CGA Note'!G25</f>
        <v>0</v>
      </c>
      <c r="N39" s="24">
        <f t="shared" si="2"/>
        <v>0</v>
      </c>
    </row>
    <row r="40" spans="1:14">
      <c r="B40" s="25" t="s">
        <v>146</v>
      </c>
      <c r="C40" s="25"/>
      <c r="D40" s="24">
        <f>+'Gov Fund OS'!L40</f>
        <v>0</v>
      </c>
      <c r="J40" s="24">
        <f>-D40</f>
        <v>0</v>
      </c>
      <c r="N40" s="24">
        <f t="shared" si="2"/>
        <v>0</v>
      </c>
    </row>
    <row r="41" spans="1:14">
      <c r="B41" s="25" t="s">
        <v>147</v>
      </c>
      <c r="C41" s="25"/>
      <c r="D41" s="24">
        <f>+'Gov Fund OS'!L41</f>
        <v>0</v>
      </c>
      <c r="J41" s="24">
        <f>-D41</f>
        <v>0</v>
      </c>
      <c r="N41" s="24">
        <f t="shared" si="2"/>
        <v>0</v>
      </c>
    </row>
    <row r="42" spans="1:14">
      <c r="B42" s="25" t="s">
        <v>474</v>
      </c>
      <c r="C42" s="25"/>
      <c r="D42" s="24">
        <f>+'Gov Fund OS'!L42</f>
        <v>0</v>
      </c>
      <c r="N42" s="24">
        <f t="shared" si="2"/>
        <v>0</v>
      </c>
    </row>
    <row r="43" spans="1:14">
      <c r="B43" s="25" t="s">
        <v>81</v>
      </c>
      <c r="C43" s="25"/>
      <c r="D43" s="24">
        <f>+'Gov Fund OS'!L43</f>
        <v>0</v>
      </c>
      <c r="J43" s="24">
        <f>-D43</f>
        <v>0</v>
      </c>
      <c r="N43" s="24">
        <f t="shared" si="2"/>
        <v>0</v>
      </c>
    </row>
    <row r="44" spans="1:14">
      <c r="B44" s="25" t="s">
        <v>432</v>
      </c>
      <c r="C44" s="25"/>
      <c r="D44" s="24">
        <f>+'Gov Fund OS'!L44</f>
        <v>0</v>
      </c>
      <c r="N44" s="24">
        <f t="shared" si="2"/>
        <v>0</v>
      </c>
    </row>
    <row r="45" spans="1:14">
      <c r="B45" s="25" t="s">
        <v>48</v>
      </c>
      <c r="C45" s="25"/>
      <c r="D45" s="24">
        <f>+'Gov Fund OS'!L45</f>
        <v>0</v>
      </c>
      <c r="L45" s="24">
        <f>-D45</f>
        <v>0</v>
      </c>
      <c r="N45" s="24">
        <f t="shared" si="2"/>
        <v>0</v>
      </c>
    </row>
    <row r="46" spans="1:14">
      <c r="B46" s="25" t="s">
        <v>83</v>
      </c>
      <c r="C46" s="25"/>
      <c r="D46" s="24">
        <f>+'Gov Fund OS'!L46</f>
        <v>0</v>
      </c>
      <c r="L46" s="24">
        <f>-D46</f>
        <v>0</v>
      </c>
      <c r="N46" s="24">
        <f t="shared" si="2"/>
        <v>0</v>
      </c>
    </row>
    <row r="47" spans="1:14">
      <c r="B47" s="25" t="s">
        <v>84</v>
      </c>
      <c r="C47" s="25"/>
      <c r="D47" s="24">
        <f>+'Gov Fund OS'!L47</f>
        <v>0</v>
      </c>
      <c r="N47" s="24">
        <f t="shared" si="2"/>
        <v>0</v>
      </c>
    </row>
    <row r="48" spans="1:14">
      <c r="A48" s="25"/>
      <c r="B48" s="25"/>
      <c r="C48" s="25" t="s">
        <v>85</v>
      </c>
      <c r="D48" s="36">
        <f>SUM(D37:D47)</f>
        <v>0</v>
      </c>
      <c r="F48" s="36">
        <f>SUM(F37:F47)</f>
        <v>0</v>
      </c>
      <c r="H48" s="36">
        <f>SUM(H37:H47)</f>
        <v>0</v>
      </c>
      <c r="J48" s="36">
        <f>SUM(J37:J47)</f>
        <v>0</v>
      </c>
      <c r="L48" s="36">
        <f>SUM(L37:L47)</f>
        <v>0</v>
      </c>
      <c r="N48" s="36">
        <f>SUM(N37:N47)</f>
        <v>0</v>
      </c>
    </row>
    <row r="50" spans="1:14" ht="14" thickBot="1">
      <c r="A50" s="25" t="s">
        <v>86</v>
      </c>
      <c r="B50" s="25"/>
      <c r="C50" s="25"/>
      <c r="D50" s="83">
        <f>+D17-D34+D48</f>
        <v>0</v>
      </c>
      <c r="F50" s="83">
        <f>+F17-F34+F48</f>
        <v>0</v>
      </c>
      <c r="H50" s="83">
        <f>+H17-H34+H48</f>
        <v>-987000</v>
      </c>
      <c r="J50" s="83">
        <f>+J17-J34+J48</f>
        <v>0</v>
      </c>
      <c r="L50" s="83">
        <f>+L17-L34+L48</f>
        <v>5330</v>
      </c>
      <c r="N50" s="83">
        <f>+N17-N34+N48</f>
        <v>-981670</v>
      </c>
    </row>
    <row r="51" spans="1:14" ht="14" thickTop="1"/>
  </sheetData>
  <mergeCells count="4">
    <mergeCell ref="A1:N1"/>
    <mergeCell ref="A2:N2"/>
    <mergeCell ref="A3:N3"/>
    <mergeCell ref="A4:N4"/>
  </mergeCells>
  <printOptions horizontalCentered="1"/>
  <pageMargins left="0.2" right="0.2" top="0.25" bottom="0.25" header="0.3" footer="0.3"/>
  <pageSetup scale="71" orientation="portrait"/>
  <extLst>
    <ext xmlns:mx="http://schemas.microsoft.com/office/mac/excel/2008/main" uri="{64002731-A6B0-56B0-2670-7721B7C09600}">
      <mx:PLV Mode="0" OnePage="0" WScale="0"/>
    </ext>
  </extLst>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P135"/>
  <sheetViews>
    <sheetView workbookViewId="0">
      <pane xSplit="3" ySplit="9" topLeftCell="D10" activePane="bottomRight" state="frozen"/>
      <selection pane="topRight" activeCell="D1" sqref="D1"/>
      <selection pane="bottomLeft" activeCell="A10" sqref="A10"/>
      <selection pane="bottomRight" sqref="A1:N1"/>
    </sheetView>
  </sheetViews>
  <sheetFormatPr baseColWidth="10" defaultColWidth="8.5703125" defaultRowHeight="13" x14ac:dyDescent="0"/>
  <cols>
    <col min="1" max="2" width="2.5703125" style="24" customWidth="1"/>
    <col min="3" max="3" width="37.5703125" style="24" customWidth="1"/>
    <col min="4" max="4" width="11.5703125" style="24" customWidth="1"/>
    <col min="5" max="5" width="0.85546875" style="24" customWidth="1"/>
    <col min="6" max="6" width="11.5703125" style="24" customWidth="1"/>
    <col min="7" max="7" width="0.85546875" style="24" customWidth="1"/>
    <col min="8" max="8" width="11.5703125" style="24" customWidth="1"/>
    <col min="9" max="9" width="0.85546875" style="24" customWidth="1"/>
    <col min="10" max="10" width="11.5703125" style="24" customWidth="1"/>
    <col min="11" max="11" width="0.85546875" style="24" customWidth="1"/>
    <col min="12" max="12" width="11.5703125" style="24" customWidth="1"/>
    <col min="13" max="13" width="0.85546875" style="24" customWidth="1"/>
    <col min="14" max="14" width="11.5703125" style="24" customWidth="1"/>
    <col min="15" max="16384" width="8.5703125" style="24"/>
  </cols>
  <sheetData>
    <row r="1" spans="1:15">
      <c r="A1" s="158" t="s">
        <v>56</v>
      </c>
      <c r="B1" s="158"/>
      <c r="C1" s="158"/>
      <c r="D1" s="158"/>
      <c r="E1" s="158"/>
      <c r="F1" s="158"/>
      <c r="G1" s="158"/>
      <c r="H1" s="158"/>
      <c r="I1" s="158"/>
      <c r="J1" s="158"/>
      <c r="K1" s="158"/>
      <c r="L1" s="158"/>
      <c r="M1" s="158"/>
      <c r="N1" s="158"/>
    </row>
    <row r="2" spans="1:15">
      <c r="A2" s="158" t="s">
        <v>414</v>
      </c>
      <c r="B2" s="158"/>
      <c r="C2" s="158"/>
      <c r="D2" s="158"/>
      <c r="E2" s="158"/>
      <c r="F2" s="158"/>
      <c r="G2" s="158"/>
      <c r="H2" s="158"/>
      <c r="I2" s="158"/>
      <c r="J2" s="158"/>
      <c r="K2" s="158"/>
      <c r="L2" s="158"/>
      <c r="M2" s="158"/>
      <c r="N2" s="158"/>
    </row>
    <row r="3" spans="1:15">
      <c r="A3" s="158" t="s">
        <v>475</v>
      </c>
      <c r="B3" s="158"/>
      <c r="C3" s="158"/>
      <c r="D3" s="158"/>
      <c r="E3" s="158"/>
      <c r="F3" s="158"/>
      <c r="G3" s="158"/>
      <c r="H3" s="158"/>
      <c r="I3" s="158"/>
      <c r="J3" s="158"/>
      <c r="K3" s="158"/>
      <c r="L3" s="158"/>
      <c r="M3" s="158"/>
      <c r="N3" s="158"/>
    </row>
    <row r="4" spans="1:15">
      <c r="A4" s="158" t="s">
        <v>89</v>
      </c>
      <c r="B4" s="158"/>
      <c r="C4" s="158"/>
      <c r="D4" s="158"/>
      <c r="E4" s="158"/>
      <c r="F4" s="158"/>
      <c r="G4" s="158"/>
      <c r="H4" s="158"/>
      <c r="I4" s="158"/>
      <c r="J4" s="158"/>
      <c r="K4" s="158"/>
      <c r="L4" s="158"/>
      <c r="M4" s="158"/>
      <c r="N4" s="158"/>
    </row>
    <row r="5" spans="1:15">
      <c r="A5" s="25"/>
      <c r="B5" s="25"/>
      <c r="C5" s="25"/>
    </row>
    <row r="6" spans="1:15">
      <c r="A6" s="25"/>
      <c r="B6" s="25"/>
      <c r="C6" s="25"/>
      <c r="F6" s="142"/>
      <c r="G6" s="142"/>
      <c r="H6" s="142"/>
      <c r="I6" s="142"/>
      <c r="J6" s="142"/>
      <c r="K6" s="142"/>
      <c r="L6" s="142"/>
      <c r="M6" s="142"/>
      <c r="N6" s="142" t="s">
        <v>417</v>
      </c>
    </row>
    <row r="7" spans="1:15">
      <c r="A7" s="25"/>
      <c r="B7" s="25"/>
      <c r="C7" s="25"/>
      <c r="D7" s="142" t="s">
        <v>417</v>
      </c>
      <c r="F7" s="142" t="s">
        <v>462</v>
      </c>
      <c r="G7" s="142"/>
      <c r="H7" s="142"/>
      <c r="I7" s="142"/>
      <c r="J7" s="142"/>
      <c r="K7" s="142"/>
      <c r="L7" s="142" t="s">
        <v>463</v>
      </c>
      <c r="M7" s="142"/>
      <c r="N7" s="142" t="s">
        <v>464</v>
      </c>
    </row>
    <row r="8" spans="1:15">
      <c r="A8" s="25"/>
      <c r="B8" s="25"/>
      <c r="C8" s="25"/>
      <c r="D8" s="142" t="s">
        <v>421</v>
      </c>
      <c r="F8" s="142" t="s">
        <v>465</v>
      </c>
      <c r="G8" s="142"/>
      <c r="H8" s="142" t="s">
        <v>466</v>
      </c>
      <c r="I8" s="142"/>
      <c r="J8" s="142" t="s">
        <v>467</v>
      </c>
      <c r="K8" s="142"/>
      <c r="L8" s="142" t="s">
        <v>468</v>
      </c>
      <c r="M8" s="142"/>
      <c r="N8" s="142" t="s">
        <v>469</v>
      </c>
    </row>
    <row r="9" spans="1:15">
      <c r="A9" s="25"/>
      <c r="B9" s="25"/>
      <c r="C9" s="25"/>
      <c r="D9" s="142" t="s">
        <v>193</v>
      </c>
      <c r="F9" s="142" t="s">
        <v>421</v>
      </c>
      <c r="G9" s="142"/>
      <c r="H9" s="142" t="s">
        <v>470</v>
      </c>
      <c r="I9" s="142"/>
      <c r="J9" s="142" t="s">
        <v>470</v>
      </c>
      <c r="K9" s="142"/>
      <c r="L9" s="142" t="s">
        <v>471</v>
      </c>
      <c r="M9" s="142"/>
      <c r="N9" s="142" t="s">
        <v>464</v>
      </c>
    </row>
    <row r="10" spans="1:15">
      <c r="A10" s="25"/>
      <c r="B10" s="25"/>
      <c r="C10" s="25"/>
      <c r="D10" s="142"/>
      <c r="F10" s="142"/>
      <c r="G10" s="142"/>
      <c r="H10" s="142"/>
      <c r="I10" s="142"/>
      <c r="J10" s="142"/>
      <c r="K10" s="142"/>
      <c r="L10" s="142"/>
      <c r="M10" s="142"/>
      <c r="N10" s="141"/>
    </row>
    <row r="11" spans="1:15">
      <c r="A11" s="32" t="s">
        <v>91</v>
      </c>
      <c r="B11" s="25"/>
      <c r="C11" s="25"/>
      <c r="D11" s="146">
        <f>+'Gov Fund BS'!M10</f>
        <v>0</v>
      </c>
      <c r="E11" s="25"/>
      <c r="F11" s="25">
        <f>+'CCN SNP'!D8</f>
        <v>0</v>
      </c>
      <c r="G11" s="25"/>
      <c r="H11" s="25"/>
      <c r="I11" s="25"/>
      <c r="J11" s="25"/>
      <c r="K11" s="25"/>
      <c r="L11" s="25"/>
      <c r="M11" s="25"/>
      <c r="N11" s="71">
        <f>SUM(D11:L11)</f>
        <v>0</v>
      </c>
    </row>
    <row r="12" spans="1:15">
      <c r="A12" s="32" t="s">
        <v>16</v>
      </c>
      <c r="B12" s="25"/>
      <c r="C12" s="25"/>
      <c r="D12" s="25">
        <f>+'Gov Fund BS'!M11</f>
        <v>0</v>
      </c>
      <c r="E12" s="25"/>
      <c r="F12" s="25"/>
      <c r="G12" s="25"/>
      <c r="H12" s="25"/>
      <c r="I12" s="25"/>
      <c r="J12" s="25"/>
      <c r="K12" s="25"/>
      <c r="L12" s="25"/>
      <c r="M12" s="25"/>
      <c r="N12" s="71">
        <f t="shared" ref="N12:N22" si="0">SUM(D12:L12)</f>
        <v>0</v>
      </c>
      <c r="O12" s="25"/>
    </row>
    <row r="13" spans="1:15">
      <c r="A13" s="32" t="s">
        <v>23</v>
      </c>
      <c r="B13" s="25"/>
      <c r="C13" s="25"/>
      <c r="D13" s="25">
        <f>+'Gov Fund BS'!M12</f>
        <v>0</v>
      </c>
      <c r="E13" s="25"/>
      <c r="F13" s="25"/>
      <c r="G13" s="25"/>
      <c r="H13" s="25"/>
      <c r="I13" s="25"/>
      <c r="J13" s="25"/>
      <c r="K13" s="25"/>
      <c r="L13" s="25"/>
      <c r="M13" s="25"/>
      <c r="N13" s="71">
        <f t="shared" si="0"/>
        <v>0</v>
      </c>
      <c r="O13" s="25"/>
    </row>
    <row r="14" spans="1:15">
      <c r="A14" s="32" t="s">
        <v>121</v>
      </c>
      <c r="B14" s="25"/>
      <c r="C14" s="25"/>
      <c r="D14" s="146">
        <f>+'Gov Fund BS'!M13</f>
        <v>0</v>
      </c>
      <c r="E14" s="25"/>
      <c r="F14" s="25"/>
      <c r="G14" s="25"/>
      <c r="H14" s="25"/>
      <c r="I14" s="25"/>
      <c r="J14" s="25"/>
      <c r="K14" s="25"/>
      <c r="L14" s="25"/>
      <c r="M14" s="25"/>
      <c r="N14" s="71">
        <f t="shared" si="0"/>
        <v>0</v>
      </c>
      <c r="O14" s="25"/>
    </row>
    <row r="15" spans="1:15">
      <c r="A15" s="32" t="s">
        <v>294</v>
      </c>
      <c r="B15" s="25"/>
      <c r="C15" s="25"/>
      <c r="D15" s="146"/>
      <c r="E15" s="25"/>
      <c r="F15" s="25">
        <f>+'CCN SNP'!D9</f>
        <v>0</v>
      </c>
      <c r="G15" s="25"/>
      <c r="H15" s="25"/>
      <c r="I15" s="25"/>
      <c r="J15" s="25"/>
      <c r="K15" s="25"/>
      <c r="L15" s="25">
        <f>-F15</f>
        <v>0</v>
      </c>
      <c r="M15" s="25"/>
      <c r="N15" s="71">
        <f t="shared" si="0"/>
        <v>0</v>
      </c>
      <c r="O15" s="25"/>
    </row>
    <row r="16" spans="1:15">
      <c r="A16" s="32" t="s">
        <v>99</v>
      </c>
      <c r="B16" s="25"/>
      <c r="C16" s="25"/>
      <c r="D16" s="146">
        <f>+'Gov Fund BS'!M14</f>
        <v>0</v>
      </c>
      <c r="E16" s="25"/>
      <c r="G16" s="25"/>
      <c r="H16" s="25"/>
      <c r="I16" s="25"/>
      <c r="J16" s="25"/>
      <c r="K16" s="25"/>
      <c r="L16" s="25">
        <f>-D16</f>
        <v>0</v>
      </c>
      <c r="M16" s="25"/>
      <c r="N16" s="71">
        <f t="shared" si="0"/>
        <v>0</v>
      </c>
      <c r="O16" s="25"/>
    </row>
    <row r="17" spans="1:15">
      <c r="A17" s="32" t="s">
        <v>379</v>
      </c>
      <c r="B17" s="25"/>
      <c r="C17" s="25"/>
      <c r="D17" s="146"/>
      <c r="E17" s="25"/>
      <c r="F17" s="25">
        <f>+'CCN SNP'!D10</f>
        <v>0</v>
      </c>
      <c r="G17" s="25"/>
      <c r="H17" s="25"/>
      <c r="I17" s="25"/>
      <c r="J17" s="25"/>
      <c r="K17" s="25"/>
      <c r="L17" s="25">
        <f>-F17</f>
        <v>0</v>
      </c>
      <c r="M17" s="25"/>
      <c r="N17" s="71">
        <f t="shared" si="0"/>
        <v>0</v>
      </c>
      <c r="O17" s="25"/>
    </row>
    <row r="18" spans="1:15">
      <c r="A18" s="32" t="s">
        <v>476</v>
      </c>
      <c r="B18" s="25"/>
      <c r="C18" s="25"/>
      <c r="D18" s="146"/>
      <c r="E18" s="25"/>
      <c r="F18" s="25"/>
      <c r="G18" s="25"/>
      <c r="H18" s="25"/>
      <c r="I18" s="25"/>
      <c r="J18" s="25"/>
      <c r="K18" s="25"/>
      <c r="L18" s="25">
        <f>-L17+L39</f>
        <v>0</v>
      </c>
      <c r="M18" s="25"/>
      <c r="N18" s="71">
        <f t="shared" si="0"/>
        <v>0</v>
      </c>
      <c r="O18" s="25"/>
    </row>
    <row r="19" spans="1:15">
      <c r="A19" s="32" t="s">
        <v>433</v>
      </c>
      <c r="B19" s="25"/>
      <c r="C19" s="25"/>
      <c r="D19" s="25">
        <f>+'Gov Fund BS'!M15</f>
        <v>0</v>
      </c>
      <c r="E19" s="25"/>
      <c r="F19" s="25"/>
      <c r="G19" s="25"/>
      <c r="H19" s="25"/>
      <c r="I19" s="25"/>
      <c r="J19" s="25"/>
      <c r="K19" s="25"/>
      <c r="L19" s="25"/>
      <c r="M19" s="25"/>
      <c r="N19" s="71">
        <f t="shared" si="0"/>
        <v>0</v>
      </c>
      <c r="O19" s="25"/>
    </row>
    <row r="20" spans="1:15">
      <c r="A20" s="32" t="s">
        <v>53</v>
      </c>
      <c r="B20" s="25"/>
      <c r="C20" s="25"/>
      <c r="D20" s="25">
        <f>+'Gov Fund BS'!M16</f>
        <v>0</v>
      </c>
      <c r="E20" s="25"/>
      <c r="F20" s="25"/>
      <c r="G20" s="25"/>
      <c r="H20" s="25"/>
      <c r="I20" s="25"/>
      <c r="J20" s="25"/>
      <c r="K20" s="25"/>
      <c r="L20" s="25"/>
      <c r="M20" s="25"/>
      <c r="N20" s="71">
        <f t="shared" si="0"/>
        <v>0</v>
      </c>
      <c r="O20" s="25"/>
    </row>
    <row r="21" spans="1:15">
      <c r="A21" s="32" t="s">
        <v>434</v>
      </c>
      <c r="B21" s="25"/>
      <c r="C21" s="25"/>
      <c r="D21" s="25">
        <f>+'Gov Fund BS'!M17</f>
        <v>0</v>
      </c>
      <c r="E21" s="25"/>
      <c r="F21" s="31"/>
      <c r="G21" s="25"/>
      <c r="H21" s="31"/>
      <c r="I21" s="25"/>
      <c r="J21" s="31"/>
      <c r="K21" s="25"/>
      <c r="L21" s="31"/>
      <c r="M21" s="25"/>
      <c r="N21" s="71">
        <f t="shared" si="0"/>
        <v>0</v>
      </c>
      <c r="O21" s="25"/>
    </row>
    <row r="22" spans="1:15">
      <c r="A22" s="32" t="s">
        <v>24</v>
      </c>
      <c r="B22" s="25"/>
      <c r="C22" s="25"/>
      <c r="D22" s="25">
        <f>+'Gov Fund BS'!M18</f>
        <v>0</v>
      </c>
      <c r="E22" s="25"/>
      <c r="F22" s="25">
        <f>+'CCN SNP'!D11</f>
        <v>0</v>
      </c>
      <c r="G22" s="25"/>
      <c r="H22" s="25"/>
      <c r="I22" s="25"/>
      <c r="J22" s="25"/>
      <c r="K22" s="25"/>
      <c r="L22" s="25"/>
      <c r="M22" s="25"/>
      <c r="N22" s="71">
        <f t="shared" si="0"/>
        <v>0</v>
      </c>
      <c r="O22" s="25"/>
    </row>
    <row r="23" spans="1:15">
      <c r="A23" s="24" t="s">
        <v>174</v>
      </c>
      <c r="B23" s="25"/>
      <c r="C23" s="25"/>
      <c r="D23" s="25"/>
      <c r="E23" s="25"/>
      <c r="F23" s="25"/>
      <c r="G23" s="25"/>
      <c r="H23" s="25">
        <f>+'CGA Note'!I8</f>
        <v>0</v>
      </c>
      <c r="I23" s="25"/>
      <c r="J23" s="25"/>
      <c r="K23" s="25"/>
      <c r="L23" s="25"/>
      <c r="M23" s="25"/>
      <c r="N23" s="71">
        <f t="shared" ref="N23:N28" si="1">SUM(D23:L23)</f>
        <v>0</v>
      </c>
      <c r="O23" s="25"/>
    </row>
    <row r="24" spans="1:15">
      <c r="A24" s="24" t="s">
        <v>181</v>
      </c>
      <c r="B24" s="25"/>
      <c r="C24" s="25"/>
      <c r="D24" s="25"/>
      <c r="E24" s="25"/>
      <c r="F24" s="25"/>
      <c r="G24" s="25"/>
      <c r="H24" s="25">
        <f>+'CGA Note'!I9</f>
        <v>0</v>
      </c>
      <c r="I24" s="25"/>
      <c r="J24" s="25"/>
      <c r="K24" s="25"/>
      <c r="L24" s="25"/>
      <c r="M24" s="25"/>
      <c r="N24" s="71">
        <f t="shared" si="1"/>
        <v>0</v>
      </c>
      <c r="O24" s="25"/>
    </row>
    <row r="25" spans="1:15">
      <c r="A25" s="24" t="s">
        <v>457</v>
      </c>
      <c r="B25" s="25"/>
      <c r="C25" s="25"/>
      <c r="D25" s="25"/>
      <c r="E25" s="25"/>
      <c r="F25" s="25"/>
      <c r="G25" s="25"/>
      <c r="H25" s="25">
        <f>+'CGA Note'!I13+'CGA Note'!I20</f>
        <v>0</v>
      </c>
      <c r="I25" s="25"/>
      <c r="J25" s="25"/>
      <c r="K25" s="25"/>
      <c r="L25" s="25"/>
      <c r="M25" s="25"/>
      <c r="N25" s="71">
        <f t="shared" si="1"/>
        <v>0</v>
      </c>
      <c r="O25" s="25"/>
    </row>
    <row r="26" spans="1:15">
      <c r="A26" s="24" t="s">
        <v>477</v>
      </c>
      <c r="B26" s="25"/>
      <c r="C26" s="25"/>
      <c r="D26" s="25"/>
      <c r="E26" s="25"/>
      <c r="F26" s="25">
        <f>+'CCN SNP'!D15+'CCN SNP'!D16</f>
        <v>0</v>
      </c>
      <c r="G26" s="25"/>
      <c r="H26" s="25">
        <f>+'CGA Note'!I14+'CGA Note'!I21-F26</f>
        <v>0</v>
      </c>
      <c r="I26" s="25"/>
      <c r="J26" s="25"/>
      <c r="K26" s="25"/>
      <c r="L26" s="25"/>
      <c r="M26" s="25"/>
      <c r="N26" s="71">
        <f t="shared" si="1"/>
        <v>0</v>
      </c>
      <c r="O26" s="25"/>
    </row>
    <row r="27" spans="1:15">
      <c r="A27" s="24" t="s">
        <v>478</v>
      </c>
      <c r="B27" s="25"/>
      <c r="C27" s="25"/>
      <c r="D27" s="25"/>
      <c r="E27" s="25"/>
      <c r="F27" s="25"/>
      <c r="G27" s="25"/>
      <c r="H27" s="25">
        <f>+'CGA Note'!I15+'CGA Note'!I22</f>
        <v>0</v>
      </c>
      <c r="I27" s="25"/>
      <c r="J27" s="25"/>
      <c r="K27" s="25"/>
      <c r="L27" s="25"/>
      <c r="M27" s="25"/>
      <c r="N27" s="71">
        <f t="shared" si="1"/>
        <v>0</v>
      </c>
      <c r="O27" s="25"/>
    </row>
    <row r="28" spans="1:15">
      <c r="A28" s="24" t="s">
        <v>479</v>
      </c>
      <c r="B28" s="25"/>
      <c r="C28" s="25"/>
      <c r="D28" s="25"/>
      <c r="E28" s="25"/>
      <c r="F28" s="25"/>
      <c r="G28" s="25"/>
      <c r="H28" s="25">
        <f>+'CGA Note'!I16+'CGA Note'!I23</f>
        <v>0</v>
      </c>
      <c r="I28" s="25"/>
      <c r="J28" s="25"/>
      <c r="K28" s="25"/>
      <c r="L28" s="25"/>
      <c r="M28" s="25"/>
      <c r="N28" s="71">
        <f t="shared" si="1"/>
        <v>0</v>
      </c>
      <c r="O28" s="25"/>
    </row>
    <row r="29" spans="1:15">
      <c r="A29" s="25"/>
      <c r="C29" s="32"/>
      <c r="D29" s="37">
        <f>SUM(D11:D28)</f>
        <v>0</v>
      </c>
      <c r="E29" s="25"/>
      <c r="F29" s="37">
        <f>SUM(F11:F28)</f>
        <v>0</v>
      </c>
      <c r="G29" s="25"/>
      <c r="H29" s="37">
        <f>SUM(H11:H28)</f>
        <v>0</v>
      </c>
      <c r="I29" s="25"/>
      <c r="J29" s="37">
        <f>SUM(J11:J28)</f>
        <v>0</v>
      </c>
      <c r="K29" s="25"/>
      <c r="L29" s="37">
        <f>SUM(L11:L28)</f>
        <v>0</v>
      </c>
      <c r="M29" s="25"/>
      <c r="N29" s="120">
        <f>SUM(N11:N28)</f>
        <v>0</v>
      </c>
      <c r="O29" s="25"/>
    </row>
    <row r="30" spans="1:15">
      <c r="A30" s="25"/>
      <c r="B30" s="25"/>
      <c r="C30" s="25"/>
      <c r="D30" s="25"/>
      <c r="E30" s="25"/>
      <c r="F30" s="25"/>
      <c r="G30" s="25"/>
      <c r="H30" s="25"/>
      <c r="I30" s="25"/>
      <c r="J30" s="25"/>
      <c r="K30" s="25"/>
      <c r="L30" s="25"/>
      <c r="M30" s="25"/>
      <c r="N30" s="71"/>
      <c r="O30" s="25"/>
    </row>
    <row r="31" spans="1:15">
      <c r="A31" s="32" t="s">
        <v>480</v>
      </c>
      <c r="B31" s="25"/>
      <c r="C31" s="25"/>
      <c r="D31" s="82"/>
      <c r="E31" s="25"/>
      <c r="F31" s="82"/>
      <c r="G31" s="25"/>
      <c r="H31" s="82"/>
      <c r="I31" s="25"/>
      <c r="J31" s="82"/>
      <c r="K31" s="25"/>
      <c r="L31" s="82"/>
      <c r="M31" s="25"/>
      <c r="N31" s="121">
        <f>SUM(D31:L31)</f>
        <v>0</v>
      </c>
      <c r="O31" s="25"/>
    </row>
    <row r="32" spans="1:15">
      <c r="A32" s="25"/>
      <c r="B32" s="25"/>
      <c r="C32" s="25"/>
      <c r="D32" s="25"/>
      <c r="E32" s="25"/>
      <c r="F32" s="25"/>
      <c r="G32" s="25"/>
      <c r="H32" s="25"/>
      <c r="I32" s="25"/>
      <c r="J32" s="25"/>
      <c r="K32" s="25"/>
      <c r="L32" s="25"/>
      <c r="M32" s="25"/>
      <c r="N32" s="71"/>
      <c r="O32" s="25"/>
    </row>
    <row r="33" spans="1:16">
      <c r="A33" s="32" t="s">
        <v>102</v>
      </c>
      <c r="B33" s="32"/>
      <c r="C33" s="25"/>
      <c r="D33" s="25"/>
      <c r="E33" s="25"/>
      <c r="F33" s="25"/>
      <c r="G33" s="25"/>
      <c r="H33" s="25"/>
      <c r="I33" s="25"/>
      <c r="J33" s="25"/>
      <c r="K33" s="25"/>
      <c r="L33" s="25"/>
      <c r="M33" s="25"/>
      <c r="N33" s="71"/>
      <c r="O33" s="25"/>
    </row>
    <row r="34" spans="1:16">
      <c r="A34" s="32" t="s">
        <v>25</v>
      </c>
      <c r="C34" s="25"/>
      <c r="D34" s="25">
        <f>+'Gov Fund BS'!M23</f>
        <v>0</v>
      </c>
      <c r="E34" s="25"/>
      <c r="F34" s="25">
        <f>+'CCN SNP'!D23</f>
        <v>0</v>
      </c>
      <c r="G34" s="25"/>
      <c r="H34" s="25"/>
      <c r="I34" s="25"/>
      <c r="J34" s="25"/>
      <c r="K34" s="25"/>
      <c r="L34" s="25"/>
      <c r="M34" s="25"/>
      <c r="N34" s="71">
        <f t="shared" ref="N34:N41" si="2">SUM(D34:L34)</f>
        <v>0</v>
      </c>
      <c r="O34" s="25"/>
    </row>
    <row r="35" spans="1:16">
      <c r="A35" s="32" t="s">
        <v>26</v>
      </c>
      <c r="C35" s="25"/>
      <c r="D35" s="32">
        <f>+'Gov Fund BS'!M24</f>
        <v>0</v>
      </c>
      <c r="E35" s="25"/>
      <c r="F35" s="25">
        <f>+'CCN SNP'!D24</f>
        <v>0</v>
      </c>
      <c r="G35" s="25"/>
      <c r="H35" s="25"/>
      <c r="I35" s="25"/>
      <c r="J35" s="25"/>
      <c r="K35" s="25"/>
      <c r="L35" s="25"/>
      <c r="M35" s="25"/>
      <c r="N35" s="71">
        <f t="shared" si="2"/>
        <v>0</v>
      </c>
      <c r="O35" s="25"/>
    </row>
    <row r="36" spans="1:16">
      <c r="A36" s="32" t="s">
        <v>139</v>
      </c>
      <c r="C36" s="25"/>
      <c r="D36" s="146">
        <f>+'Gov Fund BS'!M25</f>
        <v>0</v>
      </c>
      <c r="E36" s="25"/>
      <c r="F36" s="25"/>
      <c r="G36" s="25"/>
      <c r="H36" s="25"/>
      <c r="I36" s="25"/>
      <c r="J36" s="25"/>
      <c r="K36" s="25"/>
      <c r="L36" s="25"/>
      <c r="M36" s="25"/>
      <c r="N36" s="71">
        <f t="shared" si="2"/>
        <v>0</v>
      </c>
      <c r="O36" s="25"/>
    </row>
    <row r="37" spans="1:16">
      <c r="A37" s="32" t="s">
        <v>130</v>
      </c>
      <c r="C37" s="25"/>
      <c r="D37" s="146">
        <f>+'Gov Fund BS'!M26</f>
        <v>0</v>
      </c>
      <c r="E37" s="25"/>
      <c r="F37" s="25"/>
      <c r="G37" s="25"/>
      <c r="H37" s="25"/>
      <c r="I37" s="25"/>
      <c r="J37" s="25"/>
      <c r="K37" s="25"/>
      <c r="L37" s="25">
        <f>-D37</f>
        <v>0</v>
      </c>
      <c r="M37" s="25"/>
      <c r="N37" s="71">
        <f t="shared" si="2"/>
        <v>0</v>
      </c>
      <c r="O37" s="25"/>
    </row>
    <row r="38" spans="1:16">
      <c r="A38" s="32" t="s">
        <v>28</v>
      </c>
      <c r="C38" s="25"/>
      <c r="D38" s="146">
        <f>+'Gov Fund BS'!M27</f>
        <v>0</v>
      </c>
      <c r="E38" s="25"/>
      <c r="F38" s="25"/>
      <c r="G38" s="25"/>
      <c r="H38" s="25"/>
      <c r="I38" s="25"/>
      <c r="J38" s="25"/>
      <c r="K38" s="25"/>
      <c r="L38" s="25">
        <f>-D38</f>
        <v>0</v>
      </c>
      <c r="M38" s="25"/>
      <c r="N38" s="71">
        <f t="shared" si="2"/>
        <v>0</v>
      </c>
      <c r="O38" s="25"/>
    </row>
    <row r="39" spans="1:16">
      <c r="A39" s="32" t="s">
        <v>105</v>
      </c>
      <c r="C39" s="25"/>
      <c r="D39" s="25">
        <f>+'Gov Fund BS'!M28</f>
        <v>0</v>
      </c>
      <c r="E39" s="25"/>
      <c r="F39" s="25"/>
      <c r="G39" s="25"/>
      <c r="H39" s="25"/>
      <c r="I39" s="25"/>
      <c r="J39" s="25"/>
      <c r="K39" s="25"/>
      <c r="L39" s="25">
        <f>-D39</f>
        <v>0</v>
      </c>
      <c r="M39" s="25"/>
      <c r="N39" s="71">
        <f t="shared" si="2"/>
        <v>0</v>
      </c>
      <c r="O39" s="25"/>
    </row>
    <row r="40" spans="1:16">
      <c r="A40" s="32" t="s">
        <v>481</v>
      </c>
      <c r="C40" s="25"/>
      <c r="D40" s="25"/>
      <c r="E40" s="25"/>
      <c r="F40" s="25"/>
      <c r="G40" s="25"/>
      <c r="H40" s="25"/>
      <c r="I40" s="25"/>
      <c r="J40" s="25"/>
      <c r="K40" s="25"/>
      <c r="L40" s="25">
        <v>580000</v>
      </c>
      <c r="M40" s="25"/>
      <c r="N40" s="71">
        <f t="shared" si="2"/>
        <v>580000</v>
      </c>
      <c r="O40" s="25"/>
    </row>
    <row r="41" spans="1:16">
      <c r="A41" s="32" t="s">
        <v>482</v>
      </c>
      <c r="C41" s="25"/>
      <c r="D41" s="25">
        <f>+'Gov Fund BS'!M29</f>
        <v>0</v>
      </c>
      <c r="E41" s="25"/>
      <c r="F41" s="25"/>
      <c r="G41" s="25"/>
      <c r="H41" s="25"/>
      <c r="I41" s="25"/>
      <c r="J41" s="25"/>
      <c r="K41" s="25"/>
      <c r="L41" s="25"/>
      <c r="M41" s="25"/>
      <c r="N41" s="71">
        <f t="shared" si="2"/>
        <v>0</v>
      </c>
      <c r="O41" s="25"/>
    </row>
    <row r="42" spans="1:16">
      <c r="B42" s="32"/>
      <c r="C42" s="25"/>
      <c r="D42" s="37">
        <f>SUM(D34:D41)</f>
        <v>0</v>
      </c>
      <c r="E42" s="25"/>
      <c r="F42" s="37">
        <f>SUM(F34:F41)</f>
        <v>0</v>
      </c>
      <c r="G42" s="25"/>
      <c r="H42" s="37">
        <f>SUM(H34:H41)</f>
        <v>0</v>
      </c>
      <c r="I42" s="25"/>
      <c r="J42" s="37">
        <f>SUM(J34:J41)</f>
        <v>0</v>
      </c>
      <c r="K42" s="25"/>
      <c r="L42" s="37">
        <f>SUM(L34:L41)</f>
        <v>580000</v>
      </c>
      <c r="M42" s="25"/>
      <c r="N42" s="120">
        <f>SUM(N34:N41)</f>
        <v>580000</v>
      </c>
      <c r="O42" s="25"/>
    </row>
    <row r="43" spans="1:16">
      <c r="A43" s="25"/>
      <c r="B43" s="25"/>
      <c r="C43" s="25"/>
      <c r="D43" s="25"/>
      <c r="E43" s="25"/>
      <c r="F43" s="25"/>
      <c r="G43" s="25"/>
      <c r="H43" s="25"/>
      <c r="I43" s="25"/>
      <c r="J43" s="25"/>
      <c r="K43" s="25"/>
      <c r="L43" s="25"/>
      <c r="M43" s="25"/>
      <c r="N43" s="71"/>
      <c r="O43" s="25"/>
    </row>
    <row r="44" spans="1:16">
      <c r="A44" s="32" t="s">
        <v>106</v>
      </c>
      <c r="B44" s="25"/>
      <c r="C44" s="25"/>
      <c r="D44" s="25">
        <f>+'Gov Fund BS'!M32</f>
        <v>0</v>
      </c>
      <c r="E44" s="25"/>
      <c r="F44" s="25"/>
      <c r="G44" s="25"/>
      <c r="H44" s="25"/>
      <c r="I44" s="25"/>
      <c r="J44" s="25"/>
      <c r="K44" s="25"/>
      <c r="L44" s="25">
        <f>-D44</f>
        <v>0</v>
      </c>
      <c r="M44" s="25"/>
      <c r="N44" s="71">
        <f>SUM(D44:L44)</f>
        <v>0</v>
      </c>
      <c r="O44" s="25"/>
      <c r="P44" s="24" t="s">
        <v>483</v>
      </c>
    </row>
    <row r="45" spans="1:16">
      <c r="A45" s="32"/>
      <c r="B45" s="25"/>
      <c r="C45" s="25"/>
      <c r="D45" s="28"/>
      <c r="E45" s="25"/>
      <c r="F45" s="28"/>
      <c r="G45" s="25"/>
      <c r="H45" s="28"/>
      <c r="I45" s="25"/>
      <c r="J45" s="28"/>
      <c r="K45" s="25"/>
      <c r="L45" s="28"/>
      <c r="M45" s="25"/>
      <c r="N45" s="122"/>
      <c r="O45" s="25"/>
    </row>
    <row r="46" spans="1:16">
      <c r="A46" s="24" t="s">
        <v>182</v>
      </c>
      <c r="B46" s="25"/>
      <c r="C46" s="25"/>
      <c r="D46" s="25"/>
      <c r="E46" s="25"/>
      <c r="F46" s="25"/>
      <c r="G46" s="25"/>
      <c r="H46" s="25"/>
      <c r="I46" s="25"/>
      <c r="J46" s="25">
        <f>+'GLTL N'!I8</f>
        <v>0</v>
      </c>
      <c r="K46" s="25"/>
      <c r="L46" s="25"/>
      <c r="M46" s="25"/>
      <c r="N46" s="71">
        <f t="shared" ref="N46:N51" si="3">SUM(D46:L46)</f>
        <v>0</v>
      </c>
      <c r="O46" s="25"/>
    </row>
    <row r="47" spans="1:16">
      <c r="A47" s="24" t="s">
        <v>183</v>
      </c>
      <c r="B47" s="25"/>
      <c r="C47" s="25"/>
      <c r="D47" s="25"/>
      <c r="E47" s="25"/>
      <c r="F47" s="25"/>
      <c r="G47" s="25"/>
      <c r="H47" s="25"/>
      <c r="I47" s="25"/>
      <c r="J47" s="25">
        <f>+'GLTL N'!I9</f>
        <v>0</v>
      </c>
      <c r="K47" s="25"/>
      <c r="L47" s="25"/>
      <c r="M47" s="25"/>
      <c r="N47" s="71">
        <f t="shared" si="3"/>
        <v>0</v>
      </c>
      <c r="O47" s="25"/>
    </row>
    <row r="48" spans="1:16">
      <c r="A48" s="24" t="s">
        <v>187</v>
      </c>
      <c r="B48" s="25"/>
      <c r="C48" s="25"/>
      <c r="D48" s="25"/>
      <c r="E48" s="25"/>
      <c r="F48" s="25"/>
      <c r="G48" s="25"/>
      <c r="H48" s="25"/>
      <c r="I48" s="25"/>
      <c r="J48" s="25">
        <f>+'GLTL N'!I10</f>
        <v>0</v>
      </c>
      <c r="K48" s="25"/>
      <c r="L48" s="25"/>
      <c r="M48" s="25"/>
      <c r="N48" s="71">
        <f t="shared" si="3"/>
        <v>0</v>
      </c>
      <c r="O48" s="25"/>
    </row>
    <row r="49" spans="1:15">
      <c r="A49" s="24" t="s">
        <v>188</v>
      </c>
      <c r="B49" s="25"/>
      <c r="C49" s="25"/>
      <c r="D49" s="25"/>
      <c r="E49" s="25"/>
      <c r="F49" s="25"/>
      <c r="G49" s="25"/>
      <c r="H49" s="25"/>
      <c r="I49" s="25"/>
      <c r="J49" s="25"/>
      <c r="K49" s="25"/>
      <c r="L49" s="25"/>
      <c r="M49" s="25"/>
      <c r="N49" s="71">
        <f t="shared" si="3"/>
        <v>0</v>
      </c>
      <c r="O49" s="25"/>
    </row>
    <row r="50" spans="1:15">
      <c r="A50" s="24" t="s">
        <v>244</v>
      </c>
      <c r="B50" s="25"/>
      <c r="C50" s="25"/>
      <c r="D50" s="25"/>
      <c r="E50" s="25"/>
      <c r="F50" s="25"/>
      <c r="G50" s="25"/>
      <c r="H50" s="25"/>
      <c r="I50" s="25"/>
      <c r="J50" s="25">
        <f>+'GLTL N'!I15</f>
        <v>0</v>
      </c>
      <c r="K50" s="25"/>
      <c r="L50" s="25"/>
      <c r="M50" s="25"/>
      <c r="N50" s="71">
        <f t="shared" si="3"/>
        <v>0</v>
      </c>
      <c r="O50" s="25"/>
    </row>
    <row r="51" spans="1:15">
      <c r="A51" s="24" t="s">
        <v>245</v>
      </c>
      <c r="B51" s="25"/>
      <c r="C51" s="25"/>
      <c r="D51" s="25"/>
      <c r="E51" s="25"/>
      <c r="F51" s="25"/>
      <c r="G51" s="25"/>
      <c r="H51" s="25"/>
      <c r="I51" s="25"/>
      <c r="J51" s="25">
        <f>+'GLTL N'!I16</f>
        <v>0</v>
      </c>
      <c r="K51" s="25"/>
      <c r="L51" s="25"/>
      <c r="M51" s="25"/>
      <c r="N51" s="71">
        <f t="shared" si="3"/>
        <v>0</v>
      </c>
      <c r="O51" s="25"/>
    </row>
    <row r="52" spans="1:15">
      <c r="A52" s="32"/>
      <c r="B52" s="25"/>
      <c r="C52" s="25"/>
      <c r="D52" s="37">
        <f>SUM(D46:D51)</f>
        <v>0</v>
      </c>
      <c r="E52" s="25"/>
      <c r="F52" s="37">
        <f>SUM(F46:F51)</f>
        <v>0</v>
      </c>
      <c r="G52" s="25"/>
      <c r="H52" s="37">
        <f>SUM(H46:H51)</f>
        <v>0</v>
      </c>
      <c r="I52" s="25"/>
      <c r="J52" s="37">
        <f>SUM(J46:J51)</f>
        <v>0</v>
      </c>
      <c r="K52" s="25"/>
      <c r="L52" s="37">
        <f>SUM(L46:L51)</f>
        <v>0</v>
      </c>
      <c r="M52" s="25"/>
      <c r="N52" s="37">
        <f>SUM(N46:N51)</f>
        <v>0</v>
      </c>
      <c r="O52" s="25"/>
    </row>
    <row r="53" spans="1:15">
      <c r="A53" s="32"/>
      <c r="B53" s="25"/>
      <c r="C53" s="25"/>
      <c r="D53" s="25"/>
      <c r="E53" s="25"/>
      <c r="F53" s="25"/>
      <c r="G53" s="25"/>
      <c r="H53" s="25"/>
      <c r="I53" s="25"/>
      <c r="J53" s="25"/>
      <c r="K53" s="25"/>
      <c r="L53" s="25"/>
      <c r="M53" s="25"/>
      <c r="N53" s="25"/>
      <c r="O53" s="25"/>
    </row>
    <row r="54" spans="1:15">
      <c r="A54" s="25"/>
      <c r="B54" s="25"/>
      <c r="C54" s="25"/>
      <c r="D54" s="25"/>
      <c r="E54" s="25"/>
      <c r="F54" s="25"/>
      <c r="G54" s="25"/>
      <c r="H54" s="25"/>
      <c r="I54" s="25"/>
      <c r="J54" s="25"/>
      <c r="K54" s="25"/>
      <c r="L54" s="25"/>
      <c r="M54" s="25"/>
      <c r="N54" s="25"/>
      <c r="O54" s="25"/>
    </row>
    <row r="55" spans="1:15" ht="14" thickBot="1">
      <c r="A55" s="32" t="s">
        <v>436</v>
      </c>
      <c r="B55" s="32"/>
      <c r="C55" s="25"/>
      <c r="D55" s="84">
        <f>+D29+D31-D42-D44-D52</f>
        <v>0</v>
      </c>
      <c r="E55" s="25"/>
      <c r="F55" s="84">
        <f>+F29+F31-F42-F44-F52</f>
        <v>0</v>
      </c>
      <c r="G55" s="25"/>
      <c r="H55" s="84">
        <f>+H29+H31-H42-H44-H52</f>
        <v>0</v>
      </c>
      <c r="I55" s="25"/>
      <c r="J55" s="84">
        <f>+J29+J31-J42-J44-J52</f>
        <v>0</v>
      </c>
      <c r="K55" s="25"/>
      <c r="L55" s="84">
        <f>+L29+L31-L42-L44-L52</f>
        <v>-580000</v>
      </c>
      <c r="M55" s="25"/>
      <c r="N55" s="84">
        <f>+N29+N31-N42-N44-N52</f>
        <v>-580000</v>
      </c>
      <c r="O55" s="25"/>
    </row>
    <row r="56" spans="1:15" ht="14" thickTop="1">
      <c r="B56" s="33"/>
      <c r="C56" s="25"/>
      <c r="D56" s="32"/>
      <c r="E56" s="25"/>
      <c r="F56" s="25"/>
      <c r="G56" s="25"/>
      <c r="H56" s="25"/>
      <c r="I56" s="25"/>
      <c r="J56" s="25"/>
      <c r="K56" s="25"/>
      <c r="L56" s="25"/>
      <c r="M56" s="25"/>
      <c r="N56" s="25"/>
      <c r="O56" s="25"/>
    </row>
    <row r="57" spans="1:15">
      <c r="C57" s="25"/>
      <c r="D57" s="25"/>
      <c r="E57" s="25"/>
      <c r="F57" s="25"/>
      <c r="G57" s="25"/>
      <c r="H57" s="25"/>
      <c r="I57" s="25"/>
      <c r="J57" s="25"/>
      <c r="K57" s="25"/>
      <c r="L57" s="25"/>
      <c r="M57" s="25"/>
      <c r="N57" s="25"/>
      <c r="O57" s="25"/>
    </row>
    <row r="58" spans="1:15">
      <c r="C58" s="25"/>
      <c r="D58" s="32"/>
      <c r="E58" s="25"/>
      <c r="F58" s="25"/>
      <c r="G58" s="25"/>
      <c r="H58" s="25"/>
      <c r="I58" s="25"/>
      <c r="J58" s="25"/>
      <c r="K58" s="25"/>
      <c r="L58" s="25"/>
      <c r="M58" s="25"/>
      <c r="N58" s="25"/>
      <c r="O58" s="25"/>
    </row>
    <row r="59" spans="1:15">
      <c r="A59" s="25"/>
      <c r="B59" s="32"/>
      <c r="C59" s="25"/>
      <c r="D59" s="25"/>
      <c r="E59" s="25"/>
      <c r="F59" s="25"/>
      <c r="G59" s="25"/>
      <c r="H59" s="25"/>
      <c r="I59" s="25"/>
      <c r="J59" s="25"/>
      <c r="K59" s="25"/>
      <c r="L59" s="25"/>
      <c r="M59" s="25"/>
      <c r="N59" s="25"/>
      <c r="O59" s="25"/>
    </row>
    <row r="60" spans="1:15">
      <c r="A60" s="25"/>
      <c r="B60" s="32"/>
      <c r="C60" s="25"/>
      <c r="D60" s="25"/>
      <c r="E60" s="25"/>
      <c r="F60" s="25"/>
      <c r="G60" s="25"/>
      <c r="H60" s="25"/>
      <c r="I60" s="25"/>
      <c r="J60" s="25"/>
      <c r="K60" s="25"/>
      <c r="L60" s="25"/>
      <c r="M60" s="25"/>
      <c r="N60" s="25"/>
      <c r="O60" s="25"/>
    </row>
    <row r="61" spans="1:15">
      <c r="A61" s="25"/>
      <c r="B61" s="25"/>
      <c r="D61" s="25"/>
      <c r="E61" s="25"/>
      <c r="F61" s="25"/>
      <c r="G61" s="25"/>
      <c r="H61" s="25"/>
      <c r="I61" s="25"/>
      <c r="J61" s="25"/>
      <c r="K61" s="25"/>
      <c r="L61" s="25"/>
      <c r="M61" s="25"/>
      <c r="N61" s="25"/>
      <c r="O61" s="25"/>
    </row>
    <row r="62" spans="1:15">
      <c r="A62" s="25"/>
      <c r="B62" s="25"/>
      <c r="C62" s="25"/>
      <c r="D62" s="25"/>
      <c r="E62" s="25"/>
      <c r="F62" s="25"/>
      <c r="G62" s="25"/>
      <c r="H62" s="25"/>
      <c r="I62" s="25"/>
      <c r="J62" s="25"/>
      <c r="K62" s="25"/>
      <c r="L62" s="25"/>
      <c r="M62" s="25"/>
      <c r="N62" s="25"/>
      <c r="O62" s="25"/>
    </row>
    <row r="63" spans="1:15">
      <c r="D63" s="32"/>
      <c r="E63" s="25"/>
      <c r="F63" s="25"/>
      <c r="G63" s="25"/>
      <c r="H63" s="25"/>
      <c r="I63" s="25"/>
      <c r="J63" s="25"/>
      <c r="K63" s="25"/>
      <c r="L63" s="25"/>
      <c r="M63" s="25"/>
      <c r="N63" s="25"/>
      <c r="O63" s="25"/>
    </row>
    <row r="64" spans="1:15">
      <c r="A64" s="25"/>
      <c r="B64" s="25"/>
      <c r="C64" s="25"/>
      <c r="D64" s="25"/>
      <c r="E64" s="25"/>
      <c r="F64" s="25"/>
      <c r="G64" s="25"/>
      <c r="H64" s="25"/>
      <c r="I64" s="25"/>
      <c r="J64" s="25"/>
      <c r="K64" s="25"/>
      <c r="L64" s="25"/>
      <c r="M64" s="25"/>
      <c r="N64" s="25"/>
      <c r="O64" s="25"/>
    </row>
    <row r="65" spans="1:15">
      <c r="A65" s="25"/>
      <c r="B65" s="25"/>
      <c r="C65" s="25"/>
      <c r="D65" s="25"/>
      <c r="E65" s="25"/>
      <c r="F65" s="25"/>
      <c r="G65" s="25"/>
      <c r="H65" s="25"/>
      <c r="I65" s="25"/>
      <c r="J65" s="25"/>
      <c r="K65" s="25"/>
      <c r="L65" s="25"/>
      <c r="M65" s="25"/>
      <c r="N65" s="25"/>
      <c r="O65" s="25"/>
    </row>
    <row r="66" spans="1:15">
      <c r="A66" s="25"/>
      <c r="B66" s="25"/>
      <c r="C66" s="25"/>
      <c r="D66" s="25"/>
      <c r="E66" s="25"/>
      <c r="F66" s="25"/>
      <c r="G66" s="25"/>
      <c r="H66" s="25"/>
      <c r="I66" s="25"/>
      <c r="J66" s="25"/>
      <c r="K66" s="25"/>
      <c r="L66" s="25"/>
      <c r="M66" s="25"/>
      <c r="N66" s="25"/>
      <c r="O66" s="25"/>
    </row>
    <row r="67" spans="1:15">
      <c r="A67" s="25"/>
      <c r="B67" s="25"/>
      <c r="C67" s="25"/>
      <c r="D67" s="25"/>
      <c r="E67" s="25"/>
      <c r="F67" s="25"/>
      <c r="G67" s="25"/>
      <c r="H67" s="25"/>
      <c r="I67" s="25"/>
      <c r="J67" s="25"/>
      <c r="K67" s="25"/>
      <c r="L67" s="25"/>
      <c r="M67" s="25"/>
      <c r="N67" s="25"/>
      <c r="O67" s="25"/>
    </row>
    <row r="68" spans="1:15">
      <c r="A68" s="25"/>
      <c r="B68" s="25"/>
      <c r="C68" s="25"/>
      <c r="D68" s="25"/>
      <c r="E68" s="25"/>
      <c r="F68" s="25"/>
      <c r="G68" s="25"/>
      <c r="H68" s="25"/>
      <c r="I68" s="25"/>
      <c r="J68" s="25"/>
      <c r="K68" s="25"/>
      <c r="L68" s="25"/>
      <c r="M68" s="25"/>
      <c r="N68" s="25"/>
      <c r="O68" s="25"/>
    </row>
    <row r="69" spans="1:15">
      <c r="A69" s="25"/>
      <c r="B69" s="25"/>
      <c r="C69" s="25"/>
      <c r="D69" s="27"/>
      <c r="E69" s="25"/>
      <c r="F69" s="27"/>
      <c r="G69" s="25"/>
      <c r="H69" s="27"/>
      <c r="I69" s="25"/>
      <c r="J69" s="27"/>
      <c r="K69" s="25"/>
      <c r="L69" s="27"/>
      <c r="M69" s="25"/>
      <c r="N69" s="27"/>
      <c r="O69" s="25"/>
    </row>
    <row r="70" spans="1:15">
      <c r="A70" s="25"/>
      <c r="B70" s="25"/>
      <c r="C70" s="25"/>
      <c r="D70" s="25"/>
      <c r="E70" s="25"/>
      <c r="F70" s="25"/>
      <c r="G70" s="25"/>
      <c r="H70" s="25"/>
      <c r="I70" s="25"/>
      <c r="J70" s="25"/>
      <c r="K70" s="25"/>
      <c r="L70" s="25"/>
      <c r="M70" s="25"/>
      <c r="N70" s="25"/>
      <c r="O70" s="25"/>
    </row>
    <row r="71" spans="1:15">
      <c r="A71" s="25"/>
      <c r="B71" s="25"/>
      <c r="C71" s="25"/>
      <c r="D71" s="31"/>
      <c r="E71" s="25"/>
      <c r="F71" s="31"/>
      <c r="G71" s="25"/>
      <c r="H71" s="31"/>
      <c r="I71" s="25"/>
      <c r="J71" s="31"/>
      <c r="K71" s="25"/>
      <c r="L71" s="31"/>
      <c r="M71" s="25"/>
      <c r="N71" s="31"/>
      <c r="O71" s="25"/>
    </row>
    <row r="72" spans="1:15">
      <c r="A72" s="25"/>
      <c r="B72" s="25"/>
      <c r="C72" s="25"/>
      <c r="D72" s="25"/>
      <c r="E72" s="25"/>
      <c r="F72" s="25"/>
      <c r="G72" s="25"/>
      <c r="H72" s="25"/>
      <c r="I72" s="25"/>
      <c r="J72" s="25"/>
      <c r="K72" s="25"/>
      <c r="L72" s="25"/>
      <c r="M72" s="25"/>
      <c r="N72" s="25"/>
      <c r="O72" s="25"/>
    </row>
    <row r="73" spans="1:15">
      <c r="A73" s="25"/>
      <c r="B73" s="25"/>
      <c r="C73" s="25"/>
      <c r="D73" s="25"/>
      <c r="E73" s="25"/>
      <c r="F73" s="25"/>
      <c r="G73" s="25"/>
      <c r="H73" s="25"/>
      <c r="I73" s="25"/>
      <c r="J73" s="25"/>
      <c r="K73" s="25"/>
      <c r="L73" s="25"/>
      <c r="M73" s="25"/>
      <c r="N73" s="25"/>
      <c r="O73" s="25"/>
    </row>
    <row r="74" spans="1:15">
      <c r="A74" s="25"/>
      <c r="B74" s="25"/>
      <c r="C74" s="25"/>
      <c r="D74" s="25"/>
      <c r="E74" s="25"/>
      <c r="F74" s="25"/>
      <c r="G74" s="25"/>
      <c r="H74" s="25"/>
      <c r="I74" s="25"/>
      <c r="J74" s="25"/>
      <c r="K74" s="25"/>
      <c r="L74" s="25"/>
      <c r="M74" s="25"/>
      <c r="N74" s="25"/>
      <c r="O74" s="25"/>
    </row>
    <row r="75" spans="1:15">
      <c r="A75" s="25"/>
      <c r="B75" s="25"/>
      <c r="C75" s="25"/>
      <c r="D75" s="25"/>
      <c r="E75" s="25"/>
      <c r="F75" s="25"/>
      <c r="G75" s="25"/>
      <c r="H75" s="25"/>
      <c r="I75" s="25"/>
      <c r="J75" s="25"/>
      <c r="K75" s="25"/>
      <c r="L75" s="25"/>
      <c r="M75" s="25"/>
      <c r="N75" s="25"/>
      <c r="O75" s="25"/>
    </row>
    <row r="76" spans="1:15">
      <c r="A76" s="25"/>
      <c r="B76" s="25"/>
      <c r="C76" s="25"/>
      <c r="D76" s="25"/>
      <c r="E76" s="25"/>
      <c r="F76" s="25"/>
      <c r="G76" s="25"/>
      <c r="H76" s="25"/>
      <c r="I76" s="25"/>
      <c r="J76" s="25"/>
      <c r="K76" s="25"/>
      <c r="L76" s="25"/>
      <c r="M76" s="25"/>
      <c r="N76" s="25"/>
      <c r="O76" s="25"/>
    </row>
    <row r="77" spans="1:15">
      <c r="A77" s="25"/>
      <c r="B77" s="25"/>
      <c r="C77" s="25"/>
      <c r="D77" s="25"/>
      <c r="E77" s="25"/>
      <c r="F77" s="25"/>
      <c r="G77" s="25"/>
      <c r="H77" s="25"/>
      <c r="I77" s="25"/>
      <c r="J77" s="25"/>
      <c r="K77" s="25"/>
      <c r="L77" s="25"/>
      <c r="M77" s="25"/>
      <c r="N77" s="25"/>
      <c r="O77" s="25"/>
    </row>
    <row r="78" spans="1:15">
      <c r="A78" s="25"/>
      <c r="B78" s="25"/>
      <c r="C78" s="25"/>
      <c r="D78" s="25"/>
      <c r="E78" s="25"/>
      <c r="F78" s="25"/>
      <c r="G78" s="25"/>
      <c r="H78" s="25"/>
      <c r="I78" s="25"/>
      <c r="J78" s="25"/>
      <c r="K78" s="25"/>
      <c r="L78" s="25"/>
      <c r="M78" s="25"/>
      <c r="N78" s="25"/>
      <c r="O78" s="25"/>
    </row>
    <row r="79" spans="1:15">
      <c r="A79" s="25"/>
      <c r="B79" s="25"/>
      <c r="C79" s="25"/>
      <c r="D79" s="25"/>
      <c r="E79" s="25"/>
      <c r="F79" s="25"/>
      <c r="G79" s="25"/>
      <c r="H79" s="25"/>
      <c r="I79" s="25"/>
      <c r="J79" s="25"/>
      <c r="K79" s="25"/>
      <c r="L79" s="25"/>
      <c r="M79" s="25"/>
      <c r="N79" s="25"/>
      <c r="O79" s="25"/>
    </row>
    <row r="80" spans="1:15">
      <c r="A80" s="25"/>
      <c r="B80" s="25"/>
      <c r="C80" s="25"/>
      <c r="D80" s="25"/>
      <c r="E80" s="25"/>
      <c r="F80" s="25"/>
      <c r="G80" s="25"/>
      <c r="H80" s="25"/>
      <c r="I80" s="25"/>
      <c r="J80" s="25"/>
      <c r="K80" s="25"/>
      <c r="L80" s="25"/>
      <c r="M80" s="25"/>
      <c r="N80" s="25"/>
      <c r="O80" s="25"/>
    </row>
    <row r="81" spans="1:15">
      <c r="A81" s="25"/>
      <c r="B81" s="25"/>
      <c r="C81" s="25"/>
      <c r="D81" s="25"/>
      <c r="E81" s="25"/>
      <c r="F81" s="25"/>
      <c r="G81" s="25"/>
      <c r="H81" s="25"/>
      <c r="I81" s="25"/>
      <c r="J81" s="25"/>
      <c r="K81" s="25"/>
      <c r="L81" s="25"/>
      <c r="M81" s="25"/>
      <c r="N81" s="25"/>
      <c r="O81" s="25"/>
    </row>
    <row r="82" spans="1:15">
      <c r="A82" s="25"/>
      <c r="B82" s="25"/>
      <c r="C82" s="25"/>
      <c r="D82" s="25"/>
      <c r="E82" s="25"/>
      <c r="F82" s="25"/>
      <c r="G82" s="25"/>
      <c r="H82" s="25"/>
      <c r="I82" s="25"/>
      <c r="J82" s="25"/>
      <c r="K82" s="25"/>
      <c r="L82" s="25"/>
      <c r="M82" s="25"/>
      <c r="N82" s="25"/>
      <c r="O82" s="25"/>
    </row>
    <row r="83" spans="1:15">
      <c r="A83" s="25"/>
      <c r="B83" s="25"/>
      <c r="C83" s="25"/>
      <c r="D83" s="25"/>
      <c r="E83" s="25"/>
      <c r="F83" s="25"/>
      <c r="G83" s="25"/>
      <c r="H83" s="25"/>
      <c r="I83" s="25"/>
      <c r="J83" s="25"/>
      <c r="K83" s="25"/>
      <c r="L83" s="25"/>
      <c r="M83" s="25"/>
      <c r="N83" s="25"/>
      <c r="O83" s="25"/>
    </row>
    <row r="84" spans="1:15">
      <c r="A84" s="25"/>
      <c r="B84" s="25"/>
      <c r="C84" s="25"/>
      <c r="D84" s="25"/>
      <c r="E84" s="25"/>
      <c r="F84" s="25"/>
      <c r="G84" s="25"/>
      <c r="H84" s="25"/>
      <c r="I84" s="25"/>
      <c r="J84" s="25"/>
      <c r="K84" s="25"/>
      <c r="L84" s="25"/>
      <c r="M84" s="25"/>
      <c r="N84" s="25"/>
      <c r="O84" s="25"/>
    </row>
    <row r="85" spans="1:15">
      <c r="A85" s="25"/>
      <c r="B85" s="25"/>
      <c r="C85" s="25"/>
      <c r="D85" s="25"/>
      <c r="E85" s="25"/>
      <c r="F85" s="25"/>
      <c r="G85" s="25"/>
      <c r="H85" s="25"/>
      <c r="I85" s="25"/>
      <c r="J85" s="25"/>
      <c r="K85" s="25"/>
      <c r="L85" s="25"/>
      <c r="M85" s="25"/>
      <c r="N85" s="25"/>
      <c r="O85" s="25"/>
    </row>
    <row r="86" spans="1:15">
      <c r="A86" s="25"/>
      <c r="B86" s="25"/>
      <c r="C86" s="25"/>
      <c r="D86" s="25"/>
      <c r="E86" s="25"/>
      <c r="F86" s="25"/>
      <c r="G86" s="25"/>
      <c r="H86" s="25"/>
      <c r="I86" s="25"/>
      <c r="J86" s="25"/>
      <c r="K86" s="25"/>
      <c r="L86" s="25"/>
      <c r="M86" s="25"/>
      <c r="N86" s="25"/>
      <c r="O86" s="25"/>
    </row>
    <row r="87" spans="1:15">
      <c r="A87" s="25"/>
      <c r="B87" s="25"/>
      <c r="C87" s="25"/>
      <c r="D87" s="25"/>
      <c r="E87" s="25"/>
      <c r="F87" s="25"/>
      <c r="G87" s="25"/>
      <c r="H87" s="25"/>
      <c r="I87" s="25"/>
      <c r="J87" s="25"/>
      <c r="K87" s="25"/>
      <c r="L87" s="25"/>
      <c r="M87" s="25"/>
      <c r="N87" s="25"/>
      <c r="O87" s="25"/>
    </row>
    <row r="88" spans="1:15">
      <c r="A88" s="25"/>
      <c r="B88" s="25"/>
      <c r="C88" s="25"/>
      <c r="D88" s="25"/>
      <c r="E88" s="25"/>
      <c r="F88" s="25"/>
      <c r="G88" s="25"/>
      <c r="H88" s="25"/>
      <c r="I88" s="25"/>
      <c r="J88" s="25"/>
      <c r="K88" s="25"/>
      <c r="L88" s="25"/>
      <c r="M88" s="25"/>
      <c r="N88" s="25"/>
      <c r="O88" s="25"/>
    </row>
    <row r="89" spans="1:15">
      <c r="A89" s="25"/>
      <c r="B89" s="25"/>
      <c r="C89" s="25"/>
      <c r="D89" s="25"/>
      <c r="E89" s="25"/>
      <c r="F89" s="25"/>
      <c r="G89" s="25"/>
      <c r="H89" s="25"/>
      <c r="I89" s="25"/>
      <c r="J89" s="25"/>
      <c r="K89" s="25"/>
      <c r="L89" s="25"/>
      <c r="M89" s="25"/>
      <c r="N89" s="25"/>
      <c r="O89" s="25"/>
    </row>
    <row r="90" spans="1:15">
      <c r="A90" s="25"/>
      <c r="B90" s="25"/>
      <c r="C90" s="25"/>
      <c r="D90" s="25"/>
      <c r="E90" s="25"/>
      <c r="F90" s="25"/>
      <c r="G90" s="25"/>
      <c r="H90" s="25"/>
      <c r="I90" s="25"/>
      <c r="J90" s="25"/>
      <c r="K90" s="25"/>
      <c r="L90" s="25"/>
      <c r="M90" s="25"/>
      <c r="N90" s="25"/>
      <c r="O90" s="25"/>
    </row>
    <row r="91" spans="1:15">
      <c r="A91" s="25"/>
      <c r="B91" s="25"/>
      <c r="C91" s="25"/>
      <c r="D91" s="25"/>
      <c r="E91" s="25"/>
      <c r="F91" s="25"/>
      <c r="G91" s="25"/>
      <c r="H91" s="25"/>
      <c r="I91" s="25"/>
      <c r="J91" s="25"/>
      <c r="K91" s="25"/>
      <c r="L91" s="25"/>
      <c r="M91" s="25"/>
      <c r="N91" s="25"/>
      <c r="O91" s="25"/>
    </row>
    <row r="92" spans="1:15">
      <c r="A92" s="25"/>
      <c r="B92" s="25"/>
      <c r="C92" s="25"/>
      <c r="D92" s="25"/>
      <c r="E92" s="25"/>
      <c r="F92" s="25"/>
      <c r="G92" s="25"/>
      <c r="H92" s="25"/>
      <c r="I92" s="25"/>
      <c r="J92" s="25"/>
      <c r="K92" s="25"/>
      <c r="L92" s="25"/>
      <c r="M92" s="25"/>
      <c r="N92" s="25"/>
      <c r="O92" s="25"/>
    </row>
    <row r="93" spans="1:15">
      <c r="A93" s="25"/>
      <c r="B93" s="25"/>
      <c r="C93" s="25"/>
      <c r="D93" s="25"/>
      <c r="E93" s="25"/>
      <c r="F93" s="25"/>
      <c r="G93" s="25"/>
      <c r="H93" s="25"/>
      <c r="I93" s="25"/>
      <c r="J93" s="25"/>
      <c r="K93" s="25"/>
      <c r="L93" s="25"/>
      <c r="M93" s="25"/>
      <c r="N93" s="25"/>
      <c r="O93" s="25"/>
    </row>
    <row r="94" spans="1:15">
      <c r="A94" s="25"/>
      <c r="B94" s="25"/>
      <c r="C94" s="25"/>
      <c r="D94" s="25"/>
      <c r="E94" s="25"/>
      <c r="F94" s="25"/>
      <c r="G94" s="25"/>
      <c r="H94" s="25"/>
      <c r="I94" s="25"/>
      <c r="J94" s="25"/>
      <c r="K94" s="25"/>
      <c r="L94" s="25"/>
      <c r="M94" s="25"/>
      <c r="N94" s="25"/>
      <c r="O94" s="25"/>
    </row>
    <row r="95" spans="1:15">
      <c r="A95" s="25"/>
      <c r="B95" s="25"/>
      <c r="C95" s="25"/>
      <c r="D95" s="25"/>
      <c r="E95" s="25"/>
      <c r="F95" s="25"/>
      <c r="G95" s="25"/>
      <c r="H95" s="25"/>
      <c r="I95" s="25"/>
      <c r="J95" s="25"/>
      <c r="K95" s="25"/>
      <c r="L95" s="25"/>
      <c r="M95" s="25"/>
      <c r="N95" s="25"/>
      <c r="O95" s="25"/>
    </row>
    <row r="96" spans="1:15">
      <c r="A96" s="25"/>
      <c r="B96" s="25"/>
      <c r="C96" s="25"/>
      <c r="D96" s="25"/>
      <c r="E96" s="25"/>
      <c r="F96" s="25"/>
      <c r="G96" s="25"/>
      <c r="H96" s="25"/>
      <c r="I96" s="25"/>
      <c r="J96" s="25"/>
      <c r="K96" s="25"/>
      <c r="L96" s="25"/>
      <c r="M96" s="25"/>
      <c r="N96" s="25"/>
      <c r="O96" s="25"/>
    </row>
    <row r="97" spans="1:15">
      <c r="A97" s="25"/>
      <c r="B97" s="25"/>
      <c r="C97" s="25"/>
      <c r="D97" s="25"/>
      <c r="E97" s="25"/>
      <c r="F97" s="25"/>
      <c r="G97" s="25"/>
      <c r="H97" s="25"/>
      <c r="I97" s="25"/>
      <c r="J97" s="25"/>
      <c r="K97" s="25"/>
      <c r="L97" s="25"/>
      <c r="M97" s="25"/>
      <c r="N97" s="25"/>
      <c r="O97" s="25"/>
    </row>
    <row r="98" spans="1:15">
      <c r="A98" s="25"/>
      <c r="B98" s="25"/>
      <c r="C98" s="25"/>
      <c r="D98" s="25"/>
      <c r="E98" s="25"/>
      <c r="F98" s="25"/>
      <c r="G98" s="25"/>
      <c r="H98" s="25"/>
      <c r="I98" s="25"/>
      <c r="J98" s="25"/>
      <c r="K98" s="25"/>
      <c r="L98" s="25"/>
      <c r="M98" s="25"/>
      <c r="N98" s="25"/>
      <c r="O98" s="25"/>
    </row>
    <row r="99" spans="1:15">
      <c r="A99" s="25"/>
      <c r="B99" s="25"/>
      <c r="C99" s="25"/>
      <c r="D99" s="25"/>
      <c r="E99" s="25"/>
      <c r="F99" s="25"/>
      <c r="G99" s="25"/>
      <c r="H99" s="25"/>
      <c r="I99" s="25"/>
      <c r="J99" s="25"/>
      <c r="K99" s="25"/>
      <c r="L99" s="25"/>
      <c r="M99" s="25"/>
      <c r="N99" s="25"/>
      <c r="O99" s="25"/>
    </row>
    <row r="100" spans="1:15">
      <c r="A100" s="25"/>
      <c r="B100" s="25"/>
      <c r="C100" s="25"/>
      <c r="D100" s="25"/>
      <c r="E100" s="25"/>
      <c r="F100" s="25"/>
      <c r="G100" s="25"/>
      <c r="H100" s="25"/>
      <c r="I100" s="25"/>
      <c r="J100" s="25"/>
      <c r="K100" s="25"/>
      <c r="L100" s="25"/>
      <c r="M100" s="25"/>
      <c r="N100" s="25"/>
      <c r="O100" s="25"/>
    </row>
    <row r="101" spans="1:15">
      <c r="A101" s="25"/>
      <c r="B101" s="25"/>
      <c r="C101" s="25"/>
      <c r="D101" s="25"/>
      <c r="E101" s="25"/>
      <c r="F101" s="25"/>
      <c r="G101" s="25"/>
      <c r="H101" s="25"/>
      <c r="I101" s="25"/>
      <c r="J101" s="25"/>
      <c r="K101" s="25"/>
      <c r="L101" s="25"/>
      <c r="M101" s="25"/>
      <c r="N101" s="25"/>
      <c r="O101" s="25"/>
    </row>
    <row r="102" spans="1:15">
      <c r="A102" s="25"/>
      <c r="B102" s="25"/>
      <c r="C102" s="25"/>
      <c r="D102" s="25"/>
      <c r="E102" s="25"/>
      <c r="F102" s="25"/>
      <c r="G102" s="25"/>
      <c r="H102" s="25"/>
      <c r="I102" s="25"/>
      <c r="J102" s="25"/>
      <c r="K102" s="25"/>
      <c r="L102" s="25"/>
      <c r="M102" s="25"/>
      <c r="N102" s="25"/>
      <c r="O102" s="25"/>
    </row>
    <row r="103" spans="1:15">
      <c r="A103" s="25"/>
      <c r="B103" s="25"/>
      <c r="C103" s="25"/>
      <c r="D103" s="25"/>
      <c r="E103" s="25"/>
      <c r="F103" s="25"/>
      <c r="G103" s="25"/>
      <c r="H103" s="25"/>
      <c r="I103" s="25"/>
      <c r="J103" s="25"/>
      <c r="K103" s="25"/>
      <c r="L103" s="25"/>
      <c r="M103" s="25"/>
      <c r="N103" s="25"/>
      <c r="O103" s="25"/>
    </row>
    <row r="104" spans="1:15">
      <c r="A104" s="25"/>
      <c r="B104" s="25"/>
      <c r="C104" s="25"/>
      <c r="D104" s="25"/>
      <c r="E104" s="25"/>
      <c r="F104" s="25"/>
      <c r="G104" s="25"/>
      <c r="H104" s="25"/>
      <c r="I104" s="25"/>
      <c r="J104" s="25"/>
      <c r="K104" s="25"/>
      <c r="L104" s="25"/>
      <c r="M104" s="25"/>
      <c r="N104" s="25"/>
      <c r="O104" s="25"/>
    </row>
    <row r="105" spans="1:15">
      <c r="A105" s="25"/>
      <c r="B105" s="25"/>
      <c r="C105" s="25"/>
      <c r="D105" s="25"/>
      <c r="E105" s="25"/>
      <c r="F105" s="25"/>
      <c r="G105" s="25"/>
      <c r="H105" s="25"/>
      <c r="I105" s="25"/>
      <c r="J105" s="25"/>
      <c r="K105" s="25"/>
      <c r="L105" s="25"/>
      <c r="M105" s="25"/>
      <c r="N105" s="25"/>
      <c r="O105" s="25"/>
    </row>
    <row r="106" spans="1:15">
      <c r="A106" s="25"/>
      <c r="B106" s="25"/>
      <c r="C106" s="25"/>
      <c r="D106" s="25"/>
      <c r="E106" s="25"/>
      <c r="F106" s="25"/>
      <c r="G106" s="25"/>
      <c r="H106" s="25"/>
      <c r="I106" s="25"/>
      <c r="J106" s="25"/>
      <c r="K106" s="25"/>
      <c r="L106" s="25"/>
      <c r="M106" s="25"/>
      <c r="N106" s="25"/>
      <c r="O106" s="25"/>
    </row>
    <row r="107" spans="1:15">
      <c r="A107" s="25"/>
      <c r="B107" s="25"/>
      <c r="C107" s="25"/>
      <c r="D107" s="25"/>
      <c r="E107" s="25"/>
      <c r="F107" s="25"/>
      <c r="G107" s="25"/>
      <c r="H107" s="25"/>
      <c r="I107" s="25"/>
      <c r="J107" s="25"/>
      <c r="K107" s="25"/>
      <c r="L107" s="25"/>
      <c r="M107" s="25"/>
      <c r="N107" s="25"/>
      <c r="O107" s="25"/>
    </row>
    <row r="108" spans="1:15">
      <c r="A108" s="25"/>
      <c r="B108" s="25"/>
      <c r="C108" s="25"/>
      <c r="D108" s="25"/>
      <c r="E108" s="25"/>
      <c r="F108" s="25"/>
      <c r="G108" s="25"/>
      <c r="H108" s="25"/>
      <c r="I108" s="25"/>
      <c r="J108" s="25"/>
      <c r="K108" s="25"/>
      <c r="L108" s="25"/>
      <c r="M108" s="25"/>
      <c r="N108" s="25"/>
      <c r="O108" s="25"/>
    </row>
    <row r="109" spans="1:15">
      <c r="A109" s="25"/>
      <c r="B109" s="25"/>
      <c r="C109" s="25"/>
      <c r="D109" s="25"/>
      <c r="E109" s="25"/>
      <c r="F109" s="25"/>
      <c r="G109" s="25"/>
      <c r="H109" s="25"/>
      <c r="I109" s="25"/>
      <c r="J109" s="25"/>
      <c r="K109" s="25"/>
      <c r="L109" s="25"/>
      <c r="M109" s="25"/>
      <c r="N109" s="25"/>
      <c r="O109" s="25"/>
    </row>
    <row r="110" spans="1:15">
      <c r="A110" s="25"/>
      <c r="B110" s="25"/>
      <c r="C110" s="25"/>
      <c r="D110" s="25"/>
      <c r="E110" s="25"/>
      <c r="F110" s="25"/>
      <c r="G110" s="25"/>
      <c r="H110" s="25"/>
      <c r="I110" s="25"/>
      <c r="J110" s="25"/>
      <c r="K110" s="25"/>
      <c r="L110" s="25"/>
      <c r="M110" s="25"/>
      <c r="N110" s="25"/>
      <c r="O110" s="25"/>
    </row>
    <row r="111" spans="1:15">
      <c r="A111" s="25"/>
      <c r="B111" s="25"/>
      <c r="C111" s="25"/>
      <c r="D111" s="25"/>
      <c r="E111" s="25"/>
      <c r="F111" s="25"/>
      <c r="G111" s="25"/>
      <c r="H111" s="25"/>
      <c r="I111" s="25"/>
      <c r="J111" s="25"/>
      <c r="K111" s="25"/>
      <c r="L111" s="25"/>
      <c r="M111" s="25"/>
      <c r="N111" s="25"/>
      <c r="O111" s="25"/>
    </row>
    <row r="112" spans="1:15">
      <c r="A112" s="25"/>
      <c r="B112" s="25"/>
      <c r="C112" s="25"/>
      <c r="D112" s="25"/>
      <c r="E112" s="25"/>
      <c r="F112" s="25"/>
      <c r="G112" s="25"/>
      <c r="H112" s="25"/>
      <c r="I112" s="25"/>
      <c r="J112" s="25"/>
      <c r="K112" s="25"/>
      <c r="L112" s="25"/>
      <c r="M112" s="25"/>
      <c r="N112" s="25"/>
      <c r="O112" s="25"/>
    </row>
    <row r="113" spans="1:15">
      <c r="A113" s="25"/>
      <c r="B113" s="25"/>
      <c r="C113" s="25"/>
      <c r="D113" s="25"/>
      <c r="E113" s="25"/>
      <c r="F113" s="25"/>
      <c r="G113" s="25"/>
      <c r="H113" s="25"/>
      <c r="I113" s="25"/>
      <c r="J113" s="25"/>
      <c r="K113" s="25"/>
      <c r="L113" s="25"/>
      <c r="M113" s="25"/>
      <c r="N113" s="25"/>
      <c r="O113" s="25"/>
    </row>
    <row r="114" spans="1:15">
      <c r="A114" s="25"/>
      <c r="B114" s="25"/>
      <c r="C114" s="25"/>
      <c r="D114" s="25"/>
      <c r="E114" s="25"/>
      <c r="F114" s="25"/>
      <c r="G114" s="25"/>
      <c r="H114" s="25"/>
      <c r="I114" s="25"/>
      <c r="J114" s="25"/>
      <c r="K114" s="25"/>
      <c r="L114" s="25"/>
      <c r="M114" s="25"/>
      <c r="N114" s="25"/>
      <c r="O114" s="25"/>
    </row>
    <row r="115" spans="1:15">
      <c r="A115" s="25"/>
      <c r="B115" s="25"/>
      <c r="C115" s="25"/>
      <c r="D115" s="25"/>
      <c r="E115" s="25"/>
      <c r="F115" s="25"/>
      <c r="G115" s="25"/>
      <c r="H115" s="25"/>
      <c r="I115" s="25"/>
      <c r="J115" s="25"/>
      <c r="K115" s="25"/>
      <c r="L115" s="25"/>
      <c r="M115" s="25"/>
      <c r="N115" s="25"/>
      <c r="O115" s="25"/>
    </row>
    <row r="116" spans="1:15">
      <c r="A116" s="25"/>
      <c r="B116" s="25"/>
      <c r="C116" s="25"/>
      <c r="D116" s="25"/>
      <c r="E116" s="25"/>
      <c r="F116" s="25"/>
      <c r="G116" s="25"/>
      <c r="H116" s="25"/>
      <c r="I116" s="25"/>
      <c r="J116" s="25"/>
      <c r="K116" s="25"/>
      <c r="L116" s="25"/>
      <c r="M116" s="25"/>
      <c r="N116" s="25"/>
      <c r="O116" s="25"/>
    </row>
    <row r="117" spans="1:15">
      <c r="A117" s="25"/>
      <c r="B117" s="25"/>
      <c r="C117" s="25"/>
      <c r="D117" s="25"/>
      <c r="E117" s="25"/>
      <c r="F117" s="25"/>
      <c r="G117" s="25"/>
      <c r="H117" s="25"/>
      <c r="I117" s="25"/>
      <c r="J117" s="25"/>
      <c r="K117" s="25"/>
      <c r="L117" s="25"/>
      <c r="M117" s="25"/>
      <c r="N117" s="25"/>
      <c r="O117" s="25"/>
    </row>
    <row r="118" spans="1:15">
      <c r="A118" s="25"/>
      <c r="B118" s="25"/>
      <c r="C118" s="25"/>
      <c r="D118" s="25"/>
      <c r="E118" s="25"/>
      <c r="F118" s="25"/>
      <c r="G118" s="25"/>
      <c r="H118" s="25"/>
      <c r="I118" s="25"/>
      <c r="J118" s="25"/>
      <c r="K118" s="25"/>
      <c r="L118" s="25"/>
      <c r="M118" s="25"/>
      <c r="N118" s="25"/>
      <c r="O118" s="25"/>
    </row>
    <row r="119" spans="1:15">
      <c r="A119" s="25"/>
      <c r="B119" s="25"/>
      <c r="C119" s="25"/>
      <c r="D119" s="25"/>
      <c r="E119" s="25"/>
      <c r="F119" s="25"/>
      <c r="G119" s="25"/>
      <c r="H119" s="25"/>
      <c r="I119" s="25"/>
      <c r="J119" s="25"/>
      <c r="K119" s="25"/>
      <c r="L119" s="25"/>
      <c r="M119" s="25"/>
      <c r="N119" s="25"/>
      <c r="O119" s="25"/>
    </row>
    <row r="120" spans="1:15">
      <c r="A120" s="25"/>
      <c r="B120" s="25"/>
      <c r="C120" s="25"/>
      <c r="D120" s="25"/>
      <c r="E120" s="25"/>
      <c r="F120" s="25"/>
      <c r="G120" s="25"/>
      <c r="H120" s="25"/>
      <c r="I120" s="25"/>
      <c r="J120" s="25"/>
      <c r="K120" s="25"/>
      <c r="L120" s="25"/>
      <c r="M120" s="25"/>
      <c r="N120" s="25"/>
      <c r="O120" s="25"/>
    </row>
    <row r="121" spans="1:15">
      <c r="A121" s="25"/>
      <c r="B121" s="25"/>
      <c r="C121" s="25"/>
      <c r="D121" s="25"/>
      <c r="E121" s="25"/>
      <c r="F121" s="25"/>
      <c r="G121" s="25"/>
      <c r="H121" s="25"/>
      <c r="I121" s="25"/>
      <c r="J121" s="25"/>
      <c r="K121" s="25"/>
      <c r="L121" s="25"/>
      <c r="M121" s="25"/>
      <c r="N121" s="25"/>
      <c r="O121" s="25"/>
    </row>
    <row r="122" spans="1:15">
      <c r="A122" s="25"/>
      <c r="B122" s="25"/>
      <c r="C122" s="25"/>
      <c r="D122" s="25"/>
      <c r="E122" s="25"/>
      <c r="F122" s="25"/>
      <c r="G122" s="25"/>
      <c r="H122" s="25"/>
      <c r="I122" s="25"/>
      <c r="J122" s="25"/>
      <c r="K122" s="25"/>
      <c r="L122" s="25"/>
      <c r="M122" s="25"/>
      <c r="N122" s="25"/>
      <c r="O122" s="25"/>
    </row>
    <row r="123" spans="1:15">
      <c r="A123" s="25"/>
      <c r="B123" s="25"/>
      <c r="C123" s="25"/>
      <c r="D123" s="25"/>
      <c r="E123" s="25"/>
      <c r="F123" s="25"/>
      <c r="G123" s="25"/>
      <c r="H123" s="25"/>
      <c r="I123" s="25"/>
      <c r="J123" s="25"/>
      <c r="K123" s="25"/>
      <c r="L123" s="25"/>
      <c r="M123" s="25"/>
      <c r="N123" s="25"/>
      <c r="O123" s="25"/>
    </row>
    <row r="124" spans="1:15">
      <c r="A124" s="25"/>
      <c r="B124" s="25"/>
      <c r="C124" s="25"/>
      <c r="D124" s="25"/>
      <c r="E124" s="25"/>
      <c r="F124" s="25"/>
      <c r="G124" s="25"/>
      <c r="H124" s="25"/>
      <c r="I124" s="25"/>
      <c r="J124" s="25"/>
      <c r="K124" s="25"/>
      <c r="L124" s="25"/>
      <c r="M124" s="25"/>
      <c r="N124" s="25"/>
      <c r="O124" s="25"/>
    </row>
    <row r="125" spans="1:15">
      <c r="A125" s="25"/>
      <c r="B125" s="25"/>
      <c r="C125" s="25"/>
      <c r="D125" s="25"/>
      <c r="E125" s="25"/>
      <c r="F125" s="25"/>
      <c r="G125" s="25"/>
      <c r="H125" s="25"/>
      <c r="I125" s="25"/>
      <c r="J125" s="25"/>
      <c r="K125" s="25"/>
      <c r="L125" s="25"/>
      <c r="M125" s="25"/>
      <c r="N125" s="25"/>
      <c r="O125" s="25"/>
    </row>
    <row r="126" spans="1:15">
      <c r="A126" s="25"/>
      <c r="B126" s="25"/>
      <c r="C126" s="25"/>
      <c r="D126" s="25"/>
      <c r="E126" s="25"/>
      <c r="F126" s="25"/>
      <c r="G126" s="25"/>
      <c r="H126" s="25"/>
      <c r="I126" s="25"/>
      <c r="J126" s="25"/>
      <c r="K126" s="25"/>
      <c r="L126" s="25"/>
      <c r="M126" s="25"/>
      <c r="N126" s="25"/>
      <c r="O126" s="25"/>
    </row>
    <row r="127" spans="1:15">
      <c r="A127" s="25"/>
      <c r="B127" s="25"/>
      <c r="C127" s="25"/>
      <c r="D127" s="25"/>
      <c r="E127" s="25"/>
      <c r="F127" s="25"/>
      <c r="G127" s="25"/>
      <c r="H127" s="25"/>
      <c r="I127" s="25"/>
      <c r="J127" s="25"/>
      <c r="K127" s="25"/>
      <c r="L127" s="25"/>
      <c r="M127" s="25"/>
      <c r="N127" s="25"/>
      <c r="O127" s="25"/>
    </row>
    <row r="128" spans="1:15">
      <c r="A128" s="25"/>
      <c r="B128" s="25"/>
      <c r="C128" s="25"/>
      <c r="D128" s="25"/>
      <c r="E128" s="25"/>
      <c r="F128" s="25"/>
      <c r="G128" s="25"/>
      <c r="H128" s="25"/>
      <c r="I128" s="25"/>
      <c r="J128" s="25"/>
      <c r="K128" s="25"/>
      <c r="L128" s="25"/>
      <c r="M128" s="25"/>
      <c r="N128" s="25"/>
      <c r="O128" s="25"/>
    </row>
    <row r="129" spans="1:15">
      <c r="A129" s="25"/>
      <c r="B129" s="25"/>
      <c r="C129" s="25"/>
      <c r="D129" s="25"/>
      <c r="E129" s="25"/>
      <c r="F129" s="25"/>
      <c r="G129" s="25"/>
      <c r="H129" s="25"/>
      <c r="I129" s="25"/>
      <c r="J129" s="25"/>
      <c r="K129" s="25"/>
      <c r="L129" s="25"/>
      <c r="M129" s="25"/>
      <c r="N129" s="25"/>
      <c r="O129" s="25"/>
    </row>
    <row r="130" spans="1:15">
      <c r="A130" s="25"/>
      <c r="B130" s="25"/>
      <c r="C130" s="25"/>
      <c r="D130" s="25"/>
      <c r="E130" s="25"/>
      <c r="F130" s="25"/>
      <c r="G130" s="25"/>
      <c r="H130" s="25"/>
      <c r="I130" s="25"/>
      <c r="J130" s="25"/>
      <c r="K130" s="25"/>
      <c r="L130" s="25"/>
      <c r="M130" s="25"/>
      <c r="N130" s="25"/>
      <c r="O130" s="25"/>
    </row>
    <row r="131" spans="1:15">
      <c r="A131" s="25"/>
      <c r="B131" s="25"/>
      <c r="C131" s="25"/>
      <c r="D131" s="25"/>
      <c r="E131" s="25"/>
      <c r="F131" s="25"/>
      <c r="G131" s="25"/>
      <c r="H131" s="25"/>
      <c r="I131" s="25"/>
      <c r="J131" s="25"/>
      <c r="K131" s="25"/>
      <c r="L131" s="25"/>
      <c r="M131" s="25"/>
      <c r="N131" s="25"/>
      <c r="O131" s="25"/>
    </row>
    <row r="132" spans="1:15">
      <c r="A132" s="25"/>
      <c r="B132" s="25"/>
      <c r="C132" s="25"/>
      <c r="D132" s="25"/>
      <c r="E132" s="25"/>
      <c r="F132" s="25"/>
      <c r="G132" s="25"/>
      <c r="H132" s="25"/>
      <c r="I132" s="25"/>
      <c r="J132" s="25"/>
      <c r="K132" s="25"/>
      <c r="L132" s="25"/>
      <c r="M132" s="25"/>
      <c r="N132" s="25"/>
      <c r="O132" s="25"/>
    </row>
    <row r="133" spans="1:15">
      <c r="A133" s="25"/>
      <c r="B133" s="25"/>
      <c r="C133" s="25"/>
      <c r="D133" s="25"/>
      <c r="E133" s="25"/>
      <c r="F133" s="25"/>
      <c r="G133" s="25"/>
      <c r="H133" s="25"/>
      <c r="I133" s="25"/>
      <c r="J133" s="25"/>
      <c r="K133" s="25"/>
      <c r="L133" s="25"/>
      <c r="M133" s="25"/>
      <c r="N133" s="25"/>
      <c r="O133" s="25"/>
    </row>
    <row r="134" spans="1:15">
      <c r="A134" s="25"/>
      <c r="B134" s="25"/>
      <c r="C134" s="25"/>
      <c r="D134" s="25"/>
      <c r="E134" s="25"/>
      <c r="F134" s="25"/>
      <c r="G134" s="25"/>
      <c r="H134" s="25"/>
      <c r="I134" s="25"/>
      <c r="J134" s="25"/>
      <c r="K134" s="25"/>
      <c r="L134" s="25"/>
      <c r="M134" s="25"/>
      <c r="N134" s="25"/>
      <c r="O134" s="25"/>
    </row>
    <row r="135" spans="1:15">
      <c r="A135" s="25"/>
      <c r="B135" s="25"/>
      <c r="C135" s="25"/>
      <c r="D135" s="25"/>
      <c r="E135" s="25"/>
      <c r="F135" s="25"/>
      <c r="G135" s="25"/>
      <c r="H135" s="25"/>
      <c r="I135" s="25"/>
      <c r="J135" s="25"/>
      <c r="K135" s="25"/>
      <c r="L135" s="25"/>
      <c r="M135" s="25"/>
      <c r="N135" s="25"/>
      <c r="O135" s="25"/>
    </row>
  </sheetData>
  <mergeCells count="4">
    <mergeCell ref="A1:N1"/>
    <mergeCell ref="A2:N2"/>
    <mergeCell ref="A3:N3"/>
    <mergeCell ref="A4:N4"/>
  </mergeCells>
  <printOptions horizontalCentered="1"/>
  <pageMargins left="0.2" right="0.2" top="0.25" bottom="0.25" header="0.3" footer="0.3"/>
  <pageSetup scale="67" orientation="portrait"/>
  <extLst>
    <ext xmlns:mx="http://schemas.microsoft.com/office/mac/excel/2008/main" uri="{64002731-A6B0-56B0-2670-7721B7C09600}">
      <mx:PLV Mode="0" OnePage="0" WScale="0"/>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X110"/>
  <sheetViews>
    <sheetView workbookViewId="0">
      <pane xSplit="2" ySplit="8" topLeftCell="D9" activePane="bottomRight" state="frozen"/>
      <selection pane="topRight" activeCell="C1" sqref="C1"/>
      <selection pane="bottomLeft" activeCell="A9" sqref="A9"/>
      <selection pane="bottomRight" sqref="A1:W1"/>
    </sheetView>
  </sheetViews>
  <sheetFormatPr baseColWidth="10" defaultColWidth="8.5703125" defaultRowHeight="13" x14ac:dyDescent="0"/>
  <cols>
    <col min="1" max="1" width="38.5703125" style="25" customWidth="1"/>
    <col min="2" max="2" width="3.42578125" style="25" customWidth="1"/>
    <col min="3" max="3" width="11.5703125" style="25" customWidth="1"/>
    <col min="4" max="4" width="0.85546875" style="25" customWidth="1"/>
    <col min="5" max="5" width="11.85546875" style="25" customWidth="1"/>
    <col min="6" max="6" width="1.5703125" style="25" customWidth="1"/>
    <col min="7" max="7" width="4.5703125" style="25" customWidth="1"/>
    <col min="8" max="8" width="11.5703125" style="25" customWidth="1"/>
    <col min="9" max="9" width="0.85546875" style="25" customWidth="1"/>
    <col min="10" max="10" width="11.5703125" style="25" customWidth="1"/>
    <col min="11" max="11" width="4.5703125" style="25" customWidth="1"/>
    <col min="12" max="12" width="1.5703125" style="25" customWidth="1"/>
    <col min="13" max="13" width="11.5703125" style="25" customWidth="1"/>
    <col min="14" max="14" width="0.5703125" style="25" customWidth="1"/>
    <col min="15" max="15" width="11.5703125" style="25" customWidth="1"/>
    <col min="16" max="16" width="1.5703125" style="25" customWidth="1"/>
    <col min="17" max="17" width="11.5703125" style="25" customWidth="1"/>
    <col min="18" max="18" width="0.85546875" style="25" customWidth="1"/>
    <col min="19" max="19" width="11.5703125" style="25" customWidth="1"/>
    <col min="20" max="20" width="1.5703125" style="25" customWidth="1"/>
    <col min="21" max="21" width="11.5703125" style="25" customWidth="1"/>
    <col min="22" max="22" width="0.85546875" style="25" customWidth="1"/>
    <col min="23" max="23" width="11.5703125" style="25" customWidth="1"/>
    <col min="24" max="24" width="11.140625" style="25" customWidth="1"/>
    <col min="25" max="25" width="8" style="25" bestFit="1" customWidth="1"/>
    <col min="26" max="265" width="8.5703125" style="25"/>
    <col min="266" max="266" width="36" style="25" bestFit="1" customWidth="1"/>
    <col min="267" max="267" width="3.42578125" style="25" customWidth="1"/>
    <col min="268" max="268" width="11.5703125" style="25" bestFit="1" customWidth="1"/>
    <col min="269" max="269" width="9.5703125" style="25" bestFit="1" customWidth="1"/>
    <col min="270" max="270" width="3.42578125" style="25" customWidth="1"/>
    <col min="271" max="272" width="10.5703125" style="25" bestFit="1" customWidth="1"/>
    <col min="273" max="273" width="3.42578125" style="25" bestFit="1" customWidth="1"/>
    <col min="274" max="274" width="10" style="25" customWidth="1"/>
    <col min="275" max="275" width="9.5703125" style="25" bestFit="1" customWidth="1"/>
    <col min="276" max="277" width="10.5703125" style="25" bestFit="1" customWidth="1"/>
    <col min="278" max="279" width="11.5703125" style="25" bestFit="1" customWidth="1"/>
    <col min="280" max="281" width="8" style="25" bestFit="1" customWidth="1"/>
    <col min="282" max="521" width="8.5703125" style="25"/>
    <col min="522" max="522" width="36" style="25" bestFit="1" customWidth="1"/>
    <col min="523" max="523" width="3.42578125" style="25" customWidth="1"/>
    <col min="524" max="524" width="11.5703125" style="25" bestFit="1" customWidth="1"/>
    <col min="525" max="525" width="9.5703125" style="25" bestFit="1" customWidth="1"/>
    <col min="526" max="526" width="3.42578125" style="25" customWidth="1"/>
    <col min="527" max="528" width="10.5703125" style="25" bestFit="1" customWidth="1"/>
    <col min="529" max="529" width="3.42578125" style="25" bestFit="1" customWidth="1"/>
    <col min="530" max="530" width="10" style="25" customWidth="1"/>
    <col min="531" max="531" width="9.5703125" style="25" bestFit="1" customWidth="1"/>
    <col min="532" max="533" width="10.5703125" style="25" bestFit="1" customWidth="1"/>
    <col min="534" max="535" width="11.5703125" style="25" bestFit="1" customWidth="1"/>
    <col min="536" max="537" width="8" style="25" bestFit="1" customWidth="1"/>
    <col min="538" max="777" width="8.5703125" style="25"/>
    <col min="778" max="778" width="36" style="25" bestFit="1" customWidth="1"/>
    <col min="779" max="779" width="3.42578125" style="25" customWidth="1"/>
    <col min="780" max="780" width="11.5703125" style="25" bestFit="1" customWidth="1"/>
    <col min="781" max="781" width="9.5703125" style="25" bestFit="1" customWidth="1"/>
    <col min="782" max="782" width="3.42578125" style="25" customWidth="1"/>
    <col min="783" max="784" width="10.5703125" style="25" bestFit="1" customWidth="1"/>
    <col min="785" max="785" width="3.42578125" style="25" bestFit="1" customWidth="1"/>
    <col min="786" max="786" width="10" style="25" customWidth="1"/>
    <col min="787" max="787" width="9.5703125" style="25" bestFit="1" customWidth="1"/>
    <col min="788" max="789" width="10.5703125" style="25" bestFit="1" customWidth="1"/>
    <col min="790" max="791" width="11.5703125" style="25" bestFit="1" customWidth="1"/>
    <col min="792" max="793" width="8" style="25" bestFit="1" customWidth="1"/>
    <col min="794" max="1033" width="8.5703125" style="25"/>
    <col min="1034" max="1034" width="36" style="25" bestFit="1" customWidth="1"/>
    <col min="1035" max="1035" width="3.42578125" style="25" customWidth="1"/>
    <col min="1036" max="1036" width="11.5703125" style="25" bestFit="1" customWidth="1"/>
    <col min="1037" max="1037" width="9.5703125" style="25" bestFit="1" customWidth="1"/>
    <col min="1038" max="1038" width="3.42578125" style="25" customWidth="1"/>
    <col min="1039" max="1040" width="10.5703125" style="25" bestFit="1" customWidth="1"/>
    <col min="1041" max="1041" width="3.42578125" style="25" bestFit="1" customWidth="1"/>
    <col min="1042" max="1042" width="10" style="25" customWidth="1"/>
    <col min="1043" max="1043" width="9.5703125" style="25" bestFit="1" customWidth="1"/>
    <col min="1044" max="1045" width="10.5703125" style="25" bestFit="1" customWidth="1"/>
    <col min="1046" max="1047" width="11.5703125" style="25" bestFit="1" customWidth="1"/>
    <col min="1048" max="1049" width="8" style="25" bestFit="1" customWidth="1"/>
    <col min="1050" max="1289" width="8.5703125" style="25"/>
    <col min="1290" max="1290" width="36" style="25" bestFit="1" customWidth="1"/>
    <col min="1291" max="1291" width="3.42578125" style="25" customWidth="1"/>
    <col min="1292" max="1292" width="11.5703125" style="25" bestFit="1" customWidth="1"/>
    <col min="1293" max="1293" width="9.5703125" style="25" bestFit="1" customWidth="1"/>
    <col min="1294" max="1294" width="3.42578125" style="25" customWidth="1"/>
    <col min="1295" max="1296" width="10.5703125" style="25" bestFit="1" customWidth="1"/>
    <col min="1297" max="1297" width="3.42578125" style="25" bestFit="1" customWidth="1"/>
    <col min="1298" max="1298" width="10" style="25" customWidth="1"/>
    <col min="1299" max="1299" width="9.5703125" style="25" bestFit="1" customWidth="1"/>
    <col min="1300" max="1301" width="10.5703125" style="25" bestFit="1" customWidth="1"/>
    <col min="1302" max="1303" width="11.5703125" style="25" bestFit="1" customWidth="1"/>
    <col min="1304" max="1305" width="8" style="25" bestFit="1" customWidth="1"/>
    <col min="1306" max="1545" width="8.5703125" style="25"/>
    <col min="1546" max="1546" width="36" style="25" bestFit="1" customWidth="1"/>
    <col min="1547" max="1547" width="3.42578125" style="25" customWidth="1"/>
    <col min="1548" max="1548" width="11.5703125" style="25" bestFit="1" customWidth="1"/>
    <col min="1549" max="1549" width="9.5703125" style="25" bestFit="1" customWidth="1"/>
    <col min="1550" max="1550" width="3.42578125" style="25" customWidth="1"/>
    <col min="1551" max="1552" width="10.5703125" style="25" bestFit="1" customWidth="1"/>
    <col min="1553" max="1553" width="3.42578125" style="25" bestFit="1" customWidth="1"/>
    <col min="1554" max="1554" width="10" style="25" customWidth="1"/>
    <col min="1555" max="1555" width="9.5703125" style="25" bestFit="1" customWidth="1"/>
    <col min="1556" max="1557" width="10.5703125" style="25" bestFit="1" customWidth="1"/>
    <col min="1558" max="1559" width="11.5703125" style="25" bestFit="1" customWidth="1"/>
    <col min="1560" max="1561" width="8" style="25" bestFit="1" customWidth="1"/>
    <col min="1562" max="1801" width="8.5703125" style="25"/>
    <col min="1802" max="1802" width="36" style="25" bestFit="1" customWidth="1"/>
    <col min="1803" max="1803" width="3.42578125" style="25" customWidth="1"/>
    <col min="1804" max="1804" width="11.5703125" style="25" bestFit="1" customWidth="1"/>
    <col min="1805" max="1805" width="9.5703125" style="25" bestFit="1" customWidth="1"/>
    <col min="1806" max="1806" width="3.42578125" style="25" customWidth="1"/>
    <col min="1807" max="1808" width="10.5703125" style="25" bestFit="1" customWidth="1"/>
    <col min="1809" max="1809" width="3.42578125" style="25" bestFit="1" customWidth="1"/>
    <col min="1810" max="1810" width="10" style="25" customWidth="1"/>
    <col min="1811" max="1811" width="9.5703125" style="25" bestFit="1" customWidth="1"/>
    <col min="1812" max="1813" width="10.5703125" style="25" bestFit="1" customWidth="1"/>
    <col min="1814" max="1815" width="11.5703125" style="25" bestFit="1" customWidth="1"/>
    <col min="1816" max="1817" width="8" style="25" bestFit="1" customWidth="1"/>
    <col min="1818" max="2057" width="8.5703125" style="25"/>
    <col min="2058" max="2058" width="36" style="25" bestFit="1" customWidth="1"/>
    <col min="2059" max="2059" width="3.42578125" style="25" customWidth="1"/>
    <col min="2060" max="2060" width="11.5703125" style="25" bestFit="1" customWidth="1"/>
    <col min="2061" max="2061" width="9.5703125" style="25" bestFit="1" customWidth="1"/>
    <col min="2062" max="2062" width="3.42578125" style="25" customWidth="1"/>
    <col min="2063" max="2064" width="10.5703125" style="25" bestFit="1" customWidth="1"/>
    <col min="2065" max="2065" width="3.42578125" style="25" bestFit="1" customWidth="1"/>
    <col min="2066" max="2066" width="10" style="25" customWidth="1"/>
    <col min="2067" max="2067" width="9.5703125" style="25" bestFit="1" customWidth="1"/>
    <col min="2068" max="2069" width="10.5703125" style="25" bestFit="1" customWidth="1"/>
    <col min="2070" max="2071" width="11.5703125" style="25" bestFit="1" customWidth="1"/>
    <col min="2072" max="2073" width="8" style="25" bestFit="1" customWidth="1"/>
    <col min="2074" max="2313" width="8.5703125" style="25"/>
    <col min="2314" max="2314" width="36" style="25" bestFit="1" customWidth="1"/>
    <col min="2315" max="2315" width="3.42578125" style="25" customWidth="1"/>
    <col min="2316" max="2316" width="11.5703125" style="25" bestFit="1" customWidth="1"/>
    <col min="2317" max="2317" width="9.5703125" style="25" bestFit="1" customWidth="1"/>
    <col min="2318" max="2318" width="3.42578125" style="25" customWidth="1"/>
    <col min="2319" max="2320" width="10.5703125" style="25" bestFit="1" customWidth="1"/>
    <col min="2321" max="2321" width="3.42578125" style="25" bestFit="1" customWidth="1"/>
    <col min="2322" max="2322" width="10" style="25" customWidth="1"/>
    <col min="2323" max="2323" width="9.5703125" style="25" bestFit="1" customWidth="1"/>
    <col min="2324" max="2325" width="10.5703125" style="25" bestFit="1" customWidth="1"/>
    <col min="2326" max="2327" width="11.5703125" style="25" bestFit="1" customWidth="1"/>
    <col min="2328" max="2329" width="8" style="25" bestFit="1" customWidth="1"/>
    <col min="2330" max="2569" width="8.5703125" style="25"/>
    <col min="2570" max="2570" width="36" style="25" bestFit="1" customWidth="1"/>
    <col min="2571" max="2571" width="3.42578125" style="25" customWidth="1"/>
    <col min="2572" max="2572" width="11.5703125" style="25" bestFit="1" customWidth="1"/>
    <col min="2573" max="2573" width="9.5703125" style="25" bestFit="1" customWidth="1"/>
    <col min="2574" max="2574" width="3.42578125" style="25" customWidth="1"/>
    <col min="2575" max="2576" width="10.5703125" style="25" bestFit="1" customWidth="1"/>
    <col min="2577" max="2577" width="3.42578125" style="25" bestFit="1" customWidth="1"/>
    <col min="2578" max="2578" width="10" style="25" customWidth="1"/>
    <col min="2579" max="2579" width="9.5703125" style="25" bestFit="1" customWidth="1"/>
    <col min="2580" max="2581" width="10.5703125" style="25" bestFit="1" customWidth="1"/>
    <col min="2582" max="2583" width="11.5703125" style="25" bestFit="1" customWidth="1"/>
    <col min="2584" max="2585" width="8" style="25" bestFit="1" customWidth="1"/>
    <col min="2586" max="2825" width="8.5703125" style="25"/>
    <col min="2826" max="2826" width="36" style="25" bestFit="1" customWidth="1"/>
    <col min="2827" max="2827" width="3.42578125" style="25" customWidth="1"/>
    <col min="2828" max="2828" width="11.5703125" style="25" bestFit="1" customWidth="1"/>
    <col min="2829" max="2829" width="9.5703125" style="25" bestFit="1" customWidth="1"/>
    <col min="2830" max="2830" width="3.42578125" style="25" customWidth="1"/>
    <col min="2831" max="2832" width="10.5703125" style="25" bestFit="1" customWidth="1"/>
    <col min="2833" max="2833" width="3.42578125" style="25" bestFit="1" customWidth="1"/>
    <col min="2834" max="2834" width="10" style="25" customWidth="1"/>
    <col min="2835" max="2835" width="9.5703125" style="25" bestFit="1" customWidth="1"/>
    <col min="2836" max="2837" width="10.5703125" style="25" bestFit="1" customWidth="1"/>
    <col min="2838" max="2839" width="11.5703125" style="25" bestFit="1" customWidth="1"/>
    <col min="2840" max="2841" width="8" style="25" bestFit="1" customWidth="1"/>
    <col min="2842" max="3081" width="8.5703125" style="25"/>
    <col min="3082" max="3082" width="36" style="25" bestFit="1" customWidth="1"/>
    <col min="3083" max="3083" width="3.42578125" style="25" customWidth="1"/>
    <col min="3084" max="3084" width="11.5703125" style="25" bestFit="1" customWidth="1"/>
    <col min="3085" max="3085" width="9.5703125" style="25" bestFit="1" customWidth="1"/>
    <col min="3086" max="3086" width="3.42578125" style="25" customWidth="1"/>
    <col min="3087" max="3088" width="10.5703125" style="25" bestFit="1" customWidth="1"/>
    <col min="3089" max="3089" width="3.42578125" style="25" bestFit="1" customWidth="1"/>
    <col min="3090" max="3090" width="10" style="25" customWidth="1"/>
    <col min="3091" max="3091" width="9.5703125" style="25" bestFit="1" customWidth="1"/>
    <col min="3092" max="3093" width="10.5703125" style="25" bestFit="1" customWidth="1"/>
    <col min="3094" max="3095" width="11.5703125" style="25" bestFit="1" customWidth="1"/>
    <col min="3096" max="3097" width="8" style="25" bestFit="1" customWidth="1"/>
    <col min="3098" max="3337" width="8.5703125" style="25"/>
    <col min="3338" max="3338" width="36" style="25" bestFit="1" customWidth="1"/>
    <col min="3339" max="3339" width="3.42578125" style="25" customWidth="1"/>
    <col min="3340" max="3340" width="11.5703125" style="25" bestFit="1" customWidth="1"/>
    <col min="3341" max="3341" width="9.5703125" style="25" bestFit="1" customWidth="1"/>
    <col min="3342" max="3342" width="3.42578125" style="25" customWidth="1"/>
    <col min="3343" max="3344" width="10.5703125" style="25" bestFit="1" customWidth="1"/>
    <col min="3345" max="3345" width="3.42578125" style="25" bestFit="1" customWidth="1"/>
    <col min="3346" max="3346" width="10" style="25" customWidth="1"/>
    <col min="3347" max="3347" width="9.5703125" style="25" bestFit="1" customWidth="1"/>
    <col min="3348" max="3349" width="10.5703125" style="25" bestFit="1" customWidth="1"/>
    <col min="3350" max="3351" width="11.5703125" style="25" bestFit="1" customWidth="1"/>
    <col min="3352" max="3353" width="8" style="25" bestFit="1" customWidth="1"/>
    <col min="3354" max="3593" width="8.5703125" style="25"/>
    <col min="3594" max="3594" width="36" style="25" bestFit="1" customWidth="1"/>
    <col min="3595" max="3595" width="3.42578125" style="25" customWidth="1"/>
    <col min="3596" max="3596" width="11.5703125" style="25" bestFit="1" customWidth="1"/>
    <col min="3597" max="3597" width="9.5703125" style="25" bestFit="1" customWidth="1"/>
    <col min="3598" max="3598" width="3.42578125" style="25" customWidth="1"/>
    <col min="3599" max="3600" width="10.5703125" style="25" bestFit="1" customWidth="1"/>
    <col min="3601" max="3601" width="3.42578125" style="25" bestFit="1" customWidth="1"/>
    <col min="3602" max="3602" width="10" style="25" customWidth="1"/>
    <col min="3603" max="3603" width="9.5703125" style="25" bestFit="1" customWidth="1"/>
    <col min="3604" max="3605" width="10.5703125" style="25" bestFit="1" customWidth="1"/>
    <col min="3606" max="3607" width="11.5703125" style="25" bestFit="1" customWidth="1"/>
    <col min="3608" max="3609" width="8" style="25" bestFit="1" customWidth="1"/>
    <col min="3610" max="3849" width="8.5703125" style="25"/>
    <col min="3850" max="3850" width="36" style="25" bestFit="1" customWidth="1"/>
    <col min="3851" max="3851" width="3.42578125" style="25" customWidth="1"/>
    <col min="3852" max="3852" width="11.5703125" style="25" bestFit="1" customWidth="1"/>
    <col min="3853" max="3853" width="9.5703125" style="25" bestFit="1" customWidth="1"/>
    <col min="3854" max="3854" width="3.42578125" style="25" customWidth="1"/>
    <col min="3855" max="3856" width="10.5703125" style="25" bestFit="1" customWidth="1"/>
    <col min="3857" max="3857" width="3.42578125" style="25" bestFit="1" customWidth="1"/>
    <col min="3858" max="3858" width="10" style="25" customWidth="1"/>
    <col min="3859" max="3859" width="9.5703125" style="25" bestFit="1" customWidth="1"/>
    <col min="3860" max="3861" width="10.5703125" style="25" bestFit="1" customWidth="1"/>
    <col min="3862" max="3863" width="11.5703125" style="25" bestFit="1" customWidth="1"/>
    <col min="3864" max="3865" width="8" style="25" bestFit="1" customWidth="1"/>
    <col min="3866" max="4105" width="8.5703125" style="25"/>
    <col min="4106" max="4106" width="36" style="25" bestFit="1" customWidth="1"/>
    <col min="4107" max="4107" width="3.42578125" style="25" customWidth="1"/>
    <col min="4108" max="4108" width="11.5703125" style="25" bestFit="1" customWidth="1"/>
    <col min="4109" max="4109" width="9.5703125" style="25" bestFit="1" customWidth="1"/>
    <col min="4110" max="4110" width="3.42578125" style="25" customWidth="1"/>
    <col min="4111" max="4112" width="10.5703125" style="25" bestFit="1" customWidth="1"/>
    <col min="4113" max="4113" width="3.42578125" style="25" bestFit="1" customWidth="1"/>
    <col min="4114" max="4114" width="10" style="25" customWidth="1"/>
    <col min="4115" max="4115" width="9.5703125" style="25" bestFit="1" customWidth="1"/>
    <col min="4116" max="4117" width="10.5703125" style="25" bestFit="1" customWidth="1"/>
    <col min="4118" max="4119" width="11.5703125" style="25" bestFit="1" customWidth="1"/>
    <col min="4120" max="4121" width="8" style="25" bestFit="1" customWidth="1"/>
    <col min="4122" max="4361" width="8.5703125" style="25"/>
    <col min="4362" max="4362" width="36" style="25" bestFit="1" customWidth="1"/>
    <col min="4363" max="4363" width="3.42578125" style="25" customWidth="1"/>
    <col min="4364" max="4364" width="11.5703125" style="25" bestFit="1" customWidth="1"/>
    <col min="4365" max="4365" width="9.5703125" style="25" bestFit="1" customWidth="1"/>
    <col min="4366" max="4366" width="3.42578125" style="25" customWidth="1"/>
    <col min="4367" max="4368" width="10.5703125" style="25" bestFit="1" customWidth="1"/>
    <col min="4369" max="4369" width="3.42578125" style="25" bestFit="1" customWidth="1"/>
    <col min="4370" max="4370" width="10" style="25" customWidth="1"/>
    <col min="4371" max="4371" width="9.5703125" style="25" bestFit="1" customWidth="1"/>
    <col min="4372" max="4373" width="10.5703125" style="25" bestFit="1" customWidth="1"/>
    <col min="4374" max="4375" width="11.5703125" style="25" bestFit="1" customWidth="1"/>
    <col min="4376" max="4377" width="8" style="25" bestFit="1" customWidth="1"/>
    <col min="4378" max="4617" width="8.5703125" style="25"/>
    <col min="4618" max="4618" width="36" style="25" bestFit="1" customWidth="1"/>
    <col min="4619" max="4619" width="3.42578125" style="25" customWidth="1"/>
    <col min="4620" max="4620" width="11.5703125" style="25" bestFit="1" customWidth="1"/>
    <col min="4621" max="4621" width="9.5703125" style="25" bestFit="1" customWidth="1"/>
    <col min="4622" max="4622" width="3.42578125" style="25" customWidth="1"/>
    <col min="4623" max="4624" width="10.5703125" style="25" bestFit="1" customWidth="1"/>
    <col min="4625" max="4625" width="3.42578125" style="25" bestFit="1" customWidth="1"/>
    <col min="4626" max="4626" width="10" style="25" customWidth="1"/>
    <col min="4627" max="4627" width="9.5703125" style="25" bestFit="1" customWidth="1"/>
    <col min="4628" max="4629" width="10.5703125" style="25" bestFit="1" customWidth="1"/>
    <col min="4630" max="4631" width="11.5703125" style="25" bestFit="1" customWidth="1"/>
    <col min="4632" max="4633" width="8" style="25" bestFit="1" customWidth="1"/>
    <col min="4634" max="4873" width="8.5703125" style="25"/>
    <col min="4874" max="4874" width="36" style="25" bestFit="1" customWidth="1"/>
    <col min="4875" max="4875" width="3.42578125" style="25" customWidth="1"/>
    <col min="4876" max="4876" width="11.5703125" style="25" bestFit="1" customWidth="1"/>
    <col min="4877" max="4877" width="9.5703125" style="25" bestFit="1" customWidth="1"/>
    <col min="4878" max="4878" width="3.42578125" style="25" customWidth="1"/>
    <col min="4879" max="4880" width="10.5703125" style="25" bestFit="1" customWidth="1"/>
    <col min="4881" max="4881" width="3.42578125" style="25" bestFit="1" customWidth="1"/>
    <col min="4882" max="4882" width="10" style="25" customWidth="1"/>
    <col min="4883" max="4883" width="9.5703125" style="25" bestFit="1" customWidth="1"/>
    <col min="4884" max="4885" width="10.5703125" style="25" bestFit="1" customWidth="1"/>
    <col min="4886" max="4887" width="11.5703125" style="25" bestFit="1" customWidth="1"/>
    <col min="4888" max="4889" width="8" style="25" bestFit="1" customWidth="1"/>
    <col min="4890" max="5129" width="8.5703125" style="25"/>
    <col min="5130" max="5130" width="36" style="25" bestFit="1" customWidth="1"/>
    <col min="5131" max="5131" width="3.42578125" style="25" customWidth="1"/>
    <col min="5132" max="5132" width="11.5703125" style="25" bestFit="1" customWidth="1"/>
    <col min="5133" max="5133" width="9.5703125" style="25" bestFit="1" customWidth="1"/>
    <col min="5134" max="5134" width="3.42578125" style="25" customWidth="1"/>
    <col min="5135" max="5136" width="10.5703125" style="25" bestFit="1" customWidth="1"/>
    <col min="5137" max="5137" width="3.42578125" style="25" bestFit="1" customWidth="1"/>
    <col min="5138" max="5138" width="10" style="25" customWidth="1"/>
    <col min="5139" max="5139" width="9.5703125" style="25" bestFit="1" customWidth="1"/>
    <col min="5140" max="5141" width="10.5703125" style="25" bestFit="1" customWidth="1"/>
    <col min="5142" max="5143" width="11.5703125" style="25" bestFit="1" customWidth="1"/>
    <col min="5144" max="5145" width="8" style="25" bestFit="1" customWidth="1"/>
    <col min="5146" max="5385" width="8.5703125" style="25"/>
    <col min="5386" max="5386" width="36" style="25" bestFit="1" customWidth="1"/>
    <col min="5387" max="5387" width="3.42578125" style="25" customWidth="1"/>
    <col min="5388" max="5388" width="11.5703125" style="25" bestFit="1" customWidth="1"/>
    <col min="5389" max="5389" width="9.5703125" style="25" bestFit="1" customWidth="1"/>
    <col min="5390" max="5390" width="3.42578125" style="25" customWidth="1"/>
    <col min="5391" max="5392" width="10.5703125" style="25" bestFit="1" customWidth="1"/>
    <col min="5393" max="5393" width="3.42578125" style="25" bestFit="1" customWidth="1"/>
    <col min="5394" max="5394" width="10" style="25" customWidth="1"/>
    <col min="5395" max="5395" width="9.5703125" style="25" bestFit="1" customWidth="1"/>
    <col min="5396" max="5397" width="10.5703125" style="25" bestFit="1" customWidth="1"/>
    <col min="5398" max="5399" width="11.5703125" style="25" bestFit="1" customWidth="1"/>
    <col min="5400" max="5401" width="8" style="25" bestFit="1" customWidth="1"/>
    <col min="5402" max="5641" width="8.5703125" style="25"/>
    <col min="5642" max="5642" width="36" style="25" bestFit="1" customWidth="1"/>
    <col min="5643" max="5643" width="3.42578125" style="25" customWidth="1"/>
    <col min="5644" max="5644" width="11.5703125" style="25" bestFit="1" customWidth="1"/>
    <col min="5645" max="5645" width="9.5703125" style="25" bestFit="1" customWidth="1"/>
    <col min="5646" max="5646" width="3.42578125" style="25" customWidth="1"/>
    <col min="5647" max="5648" width="10.5703125" style="25" bestFit="1" customWidth="1"/>
    <col min="5649" max="5649" width="3.42578125" style="25" bestFit="1" customWidth="1"/>
    <col min="5650" max="5650" width="10" style="25" customWidth="1"/>
    <col min="5651" max="5651" width="9.5703125" style="25" bestFit="1" customWidth="1"/>
    <col min="5652" max="5653" width="10.5703125" style="25" bestFit="1" customWidth="1"/>
    <col min="5654" max="5655" width="11.5703125" style="25" bestFit="1" customWidth="1"/>
    <col min="5656" max="5657" width="8" style="25" bestFit="1" customWidth="1"/>
    <col min="5658" max="5897" width="8.5703125" style="25"/>
    <col min="5898" max="5898" width="36" style="25" bestFit="1" customWidth="1"/>
    <col min="5899" max="5899" width="3.42578125" style="25" customWidth="1"/>
    <col min="5900" max="5900" width="11.5703125" style="25" bestFit="1" customWidth="1"/>
    <col min="5901" max="5901" width="9.5703125" style="25" bestFit="1" customWidth="1"/>
    <col min="5902" max="5902" width="3.42578125" style="25" customWidth="1"/>
    <col min="5903" max="5904" width="10.5703125" style="25" bestFit="1" customWidth="1"/>
    <col min="5905" max="5905" width="3.42578125" style="25" bestFit="1" customWidth="1"/>
    <col min="5906" max="5906" width="10" style="25" customWidth="1"/>
    <col min="5907" max="5907" width="9.5703125" style="25" bestFit="1" customWidth="1"/>
    <col min="5908" max="5909" width="10.5703125" style="25" bestFit="1" customWidth="1"/>
    <col min="5910" max="5911" width="11.5703125" style="25" bestFit="1" customWidth="1"/>
    <col min="5912" max="5913" width="8" style="25" bestFit="1" customWidth="1"/>
    <col min="5914" max="6153" width="8.5703125" style="25"/>
    <col min="6154" max="6154" width="36" style="25" bestFit="1" customWidth="1"/>
    <col min="6155" max="6155" width="3.42578125" style="25" customWidth="1"/>
    <col min="6156" max="6156" width="11.5703125" style="25" bestFit="1" customWidth="1"/>
    <col min="6157" max="6157" width="9.5703125" style="25" bestFit="1" customWidth="1"/>
    <col min="6158" max="6158" width="3.42578125" style="25" customWidth="1"/>
    <col min="6159" max="6160" width="10.5703125" style="25" bestFit="1" customWidth="1"/>
    <col min="6161" max="6161" width="3.42578125" style="25" bestFit="1" customWidth="1"/>
    <col min="6162" max="6162" width="10" style="25" customWidth="1"/>
    <col min="6163" max="6163" width="9.5703125" style="25" bestFit="1" customWidth="1"/>
    <col min="6164" max="6165" width="10.5703125" style="25" bestFit="1" customWidth="1"/>
    <col min="6166" max="6167" width="11.5703125" style="25" bestFit="1" customWidth="1"/>
    <col min="6168" max="6169" width="8" style="25" bestFit="1" customWidth="1"/>
    <col min="6170" max="6409" width="8.5703125" style="25"/>
    <col min="6410" max="6410" width="36" style="25" bestFit="1" customWidth="1"/>
    <col min="6411" max="6411" width="3.42578125" style="25" customWidth="1"/>
    <col min="6412" max="6412" width="11.5703125" style="25" bestFit="1" customWidth="1"/>
    <col min="6413" max="6413" width="9.5703125" style="25" bestFit="1" customWidth="1"/>
    <col min="6414" max="6414" width="3.42578125" style="25" customWidth="1"/>
    <col min="6415" max="6416" width="10.5703125" style="25" bestFit="1" customWidth="1"/>
    <col min="6417" max="6417" width="3.42578125" style="25" bestFit="1" customWidth="1"/>
    <col min="6418" max="6418" width="10" style="25" customWidth="1"/>
    <col min="6419" max="6419" width="9.5703125" style="25" bestFit="1" customWidth="1"/>
    <col min="6420" max="6421" width="10.5703125" style="25" bestFit="1" customWidth="1"/>
    <col min="6422" max="6423" width="11.5703125" style="25" bestFit="1" customWidth="1"/>
    <col min="6424" max="6425" width="8" style="25" bestFit="1" customWidth="1"/>
    <col min="6426" max="6665" width="8.5703125" style="25"/>
    <col min="6666" max="6666" width="36" style="25" bestFit="1" customWidth="1"/>
    <col min="6667" max="6667" width="3.42578125" style="25" customWidth="1"/>
    <col min="6668" max="6668" width="11.5703125" style="25" bestFit="1" customWidth="1"/>
    <col min="6669" max="6669" width="9.5703125" style="25" bestFit="1" customWidth="1"/>
    <col min="6670" max="6670" width="3.42578125" style="25" customWidth="1"/>
    <col min="6671" max="6672" width="10.5703125" style="25" bestFit="1" customWidth="1"/>
    <col min="6673" max="6673" width="3.42578125" style="25" bestFit="1" customWidth="1"/>
    <col min="6674" max="6674" width="10" style="25" customWidth="1"/>
    <col min="6675" max="6675" width="9.5703125" style="25" bestFit="1" customWidth="1"/>
    <col min="6676" max="6677" width="10.5703125" style="25" bestFit="1" customWidth="1"/>
    <col min="6678" max="6679" width="11.5703125" style="25" bestFit="1" customWidth="1"/>
    <col min="6680" max="6681" width="8" style="25" bestFit="1" customWidth="1"/>
    <col min="6682" max="6921" width="8.5703125" style="25"/>
    <col min="6922" max="6922" width="36" style="25" bestFit="1" customWidth="1"/>
    <col min="6923" max="6923" width="3.42578125" style="25" customWidth="1"/>
    <col min="6924" max="6924" width="11.5703125" style="25" bestFit="1" customWidth="1"/>
    <col min="6925" max="6925" width="9.5703125" style="25" bestFit="1" customWidth="1"/>
    <col min="6926" max="6926" width="3.42578125" style="25" customWidth="1"/>
    <col min="6927" max="6928" width="10.5703125" style="25" bestFit="1" customWidth="1"/>
    <col min="6929" max="6929" width="3.42578125" style="25" bestFit="1" customWidth="1"/>
    <col min="6930" max="6930" width="10" style="25" customWidth="1"/>
    <col min="6931" max="6931" width="9.5703125" style="25" bestFit="1" customWidth="1"/>
    <col min="6932" max="6933" width="10.5703125" style="25" bestFit="1" customWidth="1"/>
    <col min="6934" max="6935" width="11.5703125" style="25" bestFit="1" customWidth="1"/>
    <col min="6936" max="6937" width="8" style="25" bestFit="1" customWidth="1"/>
    <col min="6938" max="7177" width="8.5703125" style="25"/>
    <col min="7178" max="7178" width="36" style="25" bestFit="1" customWidth="1"/>
    <col min="7179" max="7179" width="3.42578125" style="25" customWidth="1"/>
    <col min="7180" max="7180" width="11.5703125" style="25" bestFit="1" customWidth="1"/>
    <col min="7181" max="7181" width="9.5703125" style="25" bestFit="1" customWidth="1"/>
    <col min="7182" max="7182" width="3.42578125" style="25" customWidth="1"/>
    <col min="7183" max="7184" width="10.5703125" style="25" bestFit="1" customWidth="1"/>
    <col min="7185" max="7185" width="3.42578125" style="25" bestFit="1" customWidth="1"/>
    <col min="7186" max="7186" width="10" style="25" customWidth="1"/>
    <col min="7187" max="7187" width="9.5703125" style="25" bestFit="1" customWidth="1"/>
    <col min="7188" max="7189" width="10.5703125" style="25" bestFit="1" customWidth="1"/>
    <col min="7190" max="7191" width="11.5703125" style="25" bestFit="1" customWidth="1"/>
    <col min="7192" max="7193" width="8" style="25" bestFit="1" customWidth="1"/>
    <col min="7194" max="7433" width="8.5703125" style="25"/>
    <col min="7434" max="7434" width="36" style="25" bestFit="1" customWidth="1"/>
    <col min="7435" max="7435" width="3.42578125" style="25" customWidth="1"/>
    <col min="7436" max="7436" width="11.5703125" style="25" bestFit="1" customWidth="1"/>
    <col min="7437" max="7437" width="9.5703125" style="25" bestFit="1" customWidth="1"/>
    <col min="7438" max="7438" width="3.42578125" style="25" customWidth="1"/>
    <col min="7439" max="7440" width="10.5703125" style="25" bestFit="1" customWidth="1"/>
    <col min="7441" max="7441" width="3.42578125" style="25" bestFit="1" customWidth="1"/>
    <col min="7442" max="7442" width="10" style="25" customWidth="1"/>
    <col min="7443" max="7443" width="9.5703125" style="25" bestFit="1" customWidth="1"/>
    <col min="7444" max="7445" width="10.5703125" style="25" bestFit="1" customWidth="1"/>
    <col min="7446" max="7447" width="11.5703125" style="25" bestFit="1" customWidth="1"/>
    <col min="7448" max="7449" width="8" style="25" bestFit="1" customWidth="1"/>
    <col min="7450" max="7689" width="8.5703125" style="25"/>
    <col min="7690" max="7690" width="36" style="25" bestFit="1" customWidth="1"/>
    <col min="7691" max="7691" width="3.42578125" style="25" customWidth="1"/>
    <col min="7692" max="7692" width="11.5703125" style="25" bestFit="1" customWidth="1"/>
    <col min="7693" max="7693" width="9.5703125" style="25" bestFit="1" customWidth="1"/>
    <col min="7694" max="7694" width="3.42578125" style="25" customWidth="1"/>
    <col min="7695" max="7696" width="10.5703125" style="25" bestFit="1" customWidth="1"/>
    <col min="7697" max="7697" width="3.42578125" style="25" bestFit="1" customWidth="1"/>
    <col min="7698" max="7698" width="10" style="25" customWidth="1"/>
    <col min="7699" max="7699" width="9.5703125" style="25" bestFit="1" customWidth="1"/>
    <col min="7700" max="7701" width="10.5703125" style="25" bestFit="1" customWidth="1"/>
    <col min="7702" max="7703" width="11.5703125" style="25" bestFit="1" customWidth="1"/>
    <col min="7704" max="7705" width="8" style="25" bestFit="1" customWidth="1"/>
    <col min="7706" max="7945" width="8.5703125" style="25"/>
    <col min="7946" max="7946" width="36" style="25" bestFit="1" customWidth="1"/>
    <col min="7947" max="7947" width="3.42578125" style="25" customWidth="1"/>
    <col min="7948" max="7948" width="11.5703125" style="25" bestFit="1" customWidth="1"/>
    <col min="7949" max="7949" width="9.5703125" style="25" bestFit="1" customWidth="1"/>
    <col min="7950" max="7950" width="3.42578125" style="25" customWidth="1"/>
    <col min="7951" max="7952" width="10.5703125" style="25" bestFit="1" customWidth="1"/>
    <col min="7953" max="7953" width="3.42578125" style="25" bestFit="1" customWidth="1"/>
    <col min="7954" max="7954" width="10" style="25" customWidth="1"/>
    <col min="7955" max="7955" width="9.5703125" style="25" bestFit="1" customWidth="1"/>
    <col min="7956" max="7957" width="10.5703125" style="25" bestFit="1" customWidth="1"/>
    <col min="7958" max="7959" width="11.5703125" style="25" bestFit="1" customWidth="1"/>
    <col min="7960" max="7961" width="8" style="25" bestFit="1" customWidth="1"/>
    <col min="7962" max="8201" width="8.5703125" style="25"/>
    <col min="8202" max="8202" width="36" style="25" bestFit="1" customWidth="1"/>
    <col min="8203" max="8203" width="3.42578125" style="25" customWidth="1"/>
    <col min="8204" max="8204" width="11.5703125" style="25" bestFit="1" customWidth="1"/>
    <col min="8205" max="8205" width="9.5703125" style="25" bestFit="1" customWidth="1"/>
    <col min="8206" max="8206" width="3.42578125" style="25" customWidth="1"/>
    <col min="8207" max="8208" width="10.5703125" style="25" bestFit="1" customWidth="1"/>
    <col min="8209" max="8209" width="3.42578125" style="25" bestFit="1" customWidth="1"/>
    <col min="8210" max="8210" width="10" style="25" customWidth="1"/>
    <col min="8211" max="8211" width="9.5703125" style="25" bestFit="1" customWidth="1"/>
    <col min="8212" max="8213" width="10.5703125" style="25" bestFit="1" customWidth="1"/>
    <col min="8214" max="8215" width="11.5703125" style="25" bestFit="1" customWidth="1"/>
    <col min="8216" max="8217" width="8" style="25" bestFit="1" customWidth="1"/>
    <col min="8218" max="8457" width="8.5703125" style="25"/>
    <col min="8458" max="8458" width="36" style="25" bestFit="1" customWidth="1"/>
    <col min="8459" max="8459" width="3.42578125" style="25" customWidth="1"/>
    <col min="8460" max="8460" width="11.5703125" style="25" bestFit="1" customWidth="1"/>
    <col min="8461" max="8461" width="9.5703125" style="25" bestFit="1" customWidth="1"/>
    <col min="8462" max="8462" width="3.42578125" style="25" customWidth="1"/>
    <col min="8463" max="8464" width="10.5703125" style="25" bestFit="1" customWidth="1"/>
    <col min="8465" max="8465" width="3.42578125" style="25" bestFit="1" customWidth="1"/>
    <col min="8466" max="8466" width="10" style="25" customWidth="1"/>
    <col min="8467" max="8467" width="9.5703125" style="25" bestFit="1" customWidth="1"/>
    <col min="8468" max="8469" width="10.5703125" style="25" bestFit="1" customWidth="1"/>
    <col min="8470" max="8471" width="11.5703125" style="25" bestFit="1" customWidth="1"/>
    <col min="8472" max="8473" width="8" style="25" bestFit="1" customWidth="1"/>
    <col min="8474" max="8713" width="8.5703125" style="25"/>
    <col min="8714" max="8714" width="36" style="25" bestFit="1" customWidth="1"/>
    <col min="8715" max="8715" width="3.42578125" style="25" customWidth="1"/>
    <col min="8716" max="8716" width="11.5703125" style="25" bestFit="1" customWidth="1"/>
    <col min="8717" max="8717" width="9.5703125" style="25" bestFit="1" customWidth="1"/>
    <col min="8718" max="8718" width="3.42578125" style="25" customWidth="1"/>
    <col min="8719" max="8720" width="10.5703125" style="25" bestFit="1" customWidth="1"/>
    <col min="8721" max="8721" width="3.42578125" style="25" bestFit="1" customWidth="1"/>
    <col min="8722" max="8722" width="10" style="25" customWidth="1"/>
    <col min="8723" max="8723" width="9.5703125" style="25" bestFit="1" customWidth="1"/>
    <col min="8724" max="8725" width="10.5703125" style="25" bestFit="1" customWidth="1"/>
    <col min="8726" max="8727" width="11.5703125" style="25" bestFit="1" customWidth="1"/>
    <col min="8728" max="8729" width="8" style="25" bestFit="1" customWidth="1"/>
    <col min="8730" max="8969" width="8.5703125" style="25"/>
    <col min="8970" max="8970" width="36" style="25" bestFit="1" customWidth="1"/>
    <col min="8971" max="8971" width="3.42578125" style="25" customWidth="1"/>
    <col min="8972" max="8972" width="11.5703125" style="25" bestFit="1" customWidth="1"/>
    <col min="8973" max="8973" width="9.5703125" style="25" bestFit="1" customWidth="1"/>
    <col min="8974" max="8974" width="3.42578125" style="25" customWidth="1"/>
    <col min="8975" max="8976" width="10.5703125" style="25" bestFit="1" customWidth="1"/>
    <col min="8977" max="8977" width="3.42578125" style="25" bestFit="1" customWidth="1"/>
    <col min="8978" max="8978" width="10" style="25" customWidth="1"/>
    <col min="8979" max="8979" width="9.5703125" style="25" bestFit="1" customWidth="1"/>
    <col min="8980" max="8981" width="10.5703125" style="25" bestFit="1" customWidth="1"/>
    <col min="8982" max="8983" width="11.5703125" style="25" bestFit="1" customWidth="1"/>
    <col min="8984" max="8985" width="8" style="25" bestFit="1" customWidth="1"/>
    <col min="8986" max="9225" width="8.5703125" style="25"/>
    <col min="9226" max="9226" width="36" style="25" bestFit="1" customWidth="1"/>
    <col min="9227" max="9227" width="3.42578125" style="25" customWidth="1"/>
    <col min="9228" max="9228" width="11.5703125" style="25" bestFit="1" customWidth="1"/>
    <col min="9229" max="9229" width="9.5703125" style="25" bestFit="1" customWidth="1"/>
    <col min="9230" max="9230" width="3.42578125" style="25" customWidth="1"/>
    <col min="9231" max="9232" width="10.5703125" style="25" bestFit="1" customWidth="1"/>
    <col min="9233" max="9233" width="3.42578125" style="25" bestFit="1" customWidth="1"/>
    <col min="9234" max="9234" width="10" style="25" customWidth="1"/>
    <col min="9235" max="9235" width="9.5703125" style="25" bestFit="1" customWidth="1"/>
    <col min="9236" max="9237" width="10.5703125" style="25" bestFit="1" customWidth="1"/>
    <col min="9238" max="9239" width="11.5703125" style="25" bestFit="1" customWidth="1"/>
    <col min="9240" max="9241" width="8" style="25" bestFit="1" customWidth="1"/>
    <col min="9242" max="9481" width="8.5703125" style="25"/>
    <col min="9482" max="9482" width="36" style="25" bestFit="1" customWidth="1"/>
    <col min="9483" max="9483" width="3.42578125" style="25" customWidth="1"/>
    <col min="9484" max="9484" width="11.5703125" style="25" bestFit="1" customWidth="1"/>
    <col min="9485" max="9485" width="9.5703125" style="25" bestFit="1" customWidth="1"/>
    <col min="9486" max="9486" width="3.42578125" style="25" customWidth="1"/>
    <col min="9487" max="9488" width="10.5703125" style="25" bestFit="1" customWidth="1"/>
    <col min="9489" max="9489" width="3.42578125" style="25" bestFit="1" customWidth="1"/>
    <col min="9490" max="9490" width="10" style="25" customWidth="1"/>
    <col min="9491" max="9491" width="9.5703125" style="25" bestFit="1" customWidth="1"/>
    <col min="9492" max="9493" width="10.5703125" style="25" bestFit="1" customWidth="1"/>
    <col min="9494" max="9495" width="11.5703125" style="25" bestFit="1" customWidth="1"/>
    <col min="9496" max="9497" width="8" style="25" bestFit="1" customWidth="1"/>
    <col min="9498" max="9737" width="8.5703125" style="25"/>
    <col min="9738" max="9738" width="36" style="25" bestFit="1" customWidth="1"/>
    <col min="9739" max="9739" width="3.42578125" style="25" customWidth="1"/>
    <col min="9740" max="9740" width="11.5703125" style="25" bestFit="1" customWidth="1"/>
    <col min="9741" max="9741" width="9.5703125" style="25" bestFit="1" customWidth="1"/>
    <col min="9742" max="9742" width="3.42578125" style="25" customWidth="1"/>
    <col min="9743" max="9744" width="10.5703125" style="25" bestFit="1" customWidth="1"/>
    <col min="9745" max="9745" width="3.42578125" style="25" bestFit="1" customWidth="1"/>
    <col min="9746" max="9746" width="10" style="25" customWidth="1"/>
    <col min="9747" max="9747" width="9.5703125" style="25" bestFit="1" customWidth="1"/>
    <col min="9748" max="9749" width="10.5703125" style="25" bestFit="1" customWidth="1"/>
    <col min="9750" max="9751" width="11.5703125" style="25" bestFit="1" customWidth="1"/>
    <col min="9752" max="9753" width="8" style="25" bestFit="1" customWidth="1"/>
    <col min="9754" max="9993" width="8.5703125" style="25"/>
    <col min="9994" max="9994" width="36" style="25" bestFit="1" customWidth="1"/>
    <col min="9995" max="9995" width="3.42578125" style="25" customWidth="1"/>
    <col min="9996" max="9996" width="11.5703125" style="25" bestFit="1" customWidth="1"/>
    <col min="9997" max="9997" width="9.5703125" style="25" bestFit="1" customWidth="1"/>
    <col min="9998" max="9998" width="3.42578125" style="25" customWidth="1"/>
    <col min="9999" max="10000" width="10.5703125" style="25" bestFit="1" customWidth="1"/>
    <col min="10001" max="10001" width="3.42578125" style="25" bestFit="1" customWidth="1"/>
    <col min="10002" max="10002" width="10" style="25" customWidth="1"/>
    <col min="10003" max="10003" width="9.5703125" style="25" bestFit="1" customWidth="1"/>
    <col min="10004" max="10005" width="10.5703125" style="25" bestFit="1" customWidth="1"/>
    <col min="10006" max="10007" width="11.5703125" style="25" bestFit="1" customWidth="1"/>
    <col min="10008" max="10009" width="8" style="25" bestFit="1" customWidth="1"/>
    <col min="10010" max="10249" width="8.5703125" style="25"/>
    <col min="10250" max="10250" width="36" style="25" bestFit="1" customWidth="1"/>
    <col min="10251" max="10251" width="3.42578125" style="25" customWidth="1"/>
    <col min="10252" max="10252" width="11.5703125" style="25" bestFit="1" customWidth="1"/>
    <col min="10253" max="10253" width="9.5703125" style="25" bestFit="1" customWidth="1"/>
    <col min="10254" max="10254" width="3.42578125" style="25" customWidth="1"/>
    <col min="10255" max="10256" width="10.5703125" style="25" bestFit="1" customWidth="1"/>
    <col min="10257" max="10257" width="3.42578125" style="25" bestFit="1" customWidth="1"/>
    <col min="10258" max="10258" width="10" style="25" customWidth="1"/>
    <col min="10259" max="10259" width="9.5703125" style="25" bestFit="1" customWidth="1"/>
    <col min="10260" max="10261" width="10.5703125" style="25" bestFit="1" customWidth="1"/>
    <col min="10262" max="10263" width="11.5703125" style="25" bestFit="1" customWidth="1"/>
    <col min="10264" max="10265" width="8" style="25" bestFit="1" customWidth="1"/>
    <col min="10266" max="10505" width="8.5703125" style="25"/>
    <col min="10506" max="10506" width="36" style="25" bestFit="1" customWidth="1"/>
    <col min="10507" max="10507" width="3.42578125" style="25" customWidth="1"/>
    <col min="10508" max="10508" width="11.5703125" style="25" bestFit="1" customWidth="1"/>
    <col min="10509" max="10509" width="9.5703125" style="25" bestFit="1" customWidth="1"/>
    <col min="10510" max="10510" width="3.42578125" style="25" customWidth="1"/>
    <col min="10511" max="10512" width="10.5703125" style="25" bestFit="1" customWidth="1"/>
    <col min="10513" max="10513" width="3.42578125" style="25" bestFit="1" customWidth="1"/>
    <col min="10514" max="10514" width="10" style="25" customWidth="1"/>
    <col min="10515" max="10515" width="9.5703125" style="25" bestFit="1" customWidth="1"/>
    <col min="10516" max="10517" width="10.5703125" style="25" bestFit="1" customWidth="1"/>
    <col min="10518" max="10519" width="11.5703125" style="25" bestFit="1" customWidth="1"/>
    <col min="10520" max="10521" width="8" style="25" bestFit="1" customWidth="1"/>
    <col min="10522" max="10761" width="8.5703125" style="25"/>
    <col min="10762" max="10762" width="36" style="25" bestFit="1" customWidth="1"/>
    <col min="10763" max="10763" width="3.42578125" style="25" customWidth="1"/>
    <col min="10764" max="10764" width="11.5703125" style="25" bestFit="1" customWidth="1"/>
    <col min="10765" max="10765" width="9.5703125" style="25" bestFit="1" customWidth="1"/>
    <col min="10766" max="10766" width="3.42578125" style="25" customWidth="1"/>
    <col min="10767" max="10768" width="10.5703125" style="25" bestFit="1" customWidth="1"/>
    <col min="10769" max="10769" width="3.42578125" style="25" bestFit="1" customWidth="1"/>
    <col min="10770" max="10770" width="10" style="25" customWidth="1"/>
    <col min="10771" max="10771" width="9.5703125" style="25" bestFit="1" customWidth="1"/>
    <col min="10772" max="10773" width="10.5703125" style="25" bestFit="1" customWidth="1"/>
    <col min="10774" max="10775" width="11.5703125" style="25" bestFit="1" customWidth="1"/>
    <col min="10776" max="10777" width="8" style="25" bestFit="1" customWidth="1"/>
    <col min="10778" max="11017" width="8.5703125" style="25"/>
    <col min="11018" max="11018" width="36" style="25" bestFit="1" customWidth="1"/>
    <col min="11019" max="11019" width="3.42578125" style="25" customWidth="1"/>
    <col min="11020" max="11020" width="11.5703125" style="25" bestFit="1" customWidth="1"/>
    <col min="11021" max="11021" width="9.5703125" style="25" bestFit="1" customWidth="1"/>
    <col min="11022" max="11022" width="3.42578125" style="25" customWidth="1"/>
    <col min="11023" max="11024" width="10.5703125" style="25" bestFit="1" customWidth="1"/>
    <col min="11025" max="11025" width="3.42578125" style="25" bestFit="1" customWidth="1"/>
    <col min="11026" max="11026" width="10" style="25" customWidth="1"/>
    <col min="11027" max="11027" width="9.5703125" style="25" bestFit="1" customWidth="1"/>
    <col min="11028" max="11029" width="10.5703125" style="25" bestFit="1" customWidth="1"/>
    <col min="11030" max="11031" width="11.5703125" style="25" bestFit="1" customWidth="1"/>
    <col min="11032" max="11033" width="8" style="25" bestFit="1" customWidth="1"/>
    <col min="11034" max="11273" width="8.5703125" style="25"/>
    <col min="11274" max="11274" width="36" style="25" bestFit="1" customWidth="1"/>
    <col min="11275" max="11275" width="3.42578125" style="25" customWidth="1"/>
    <col min="11276" max="11276" width="11.5703125" style="25" bestFit="1" customWidth="1"/>
    <col min="11277" max="11277" width="9.5703125" style="25" bestFit="1" customWidth="1"/>
    <col min="11278" max="11278" width="3.42578125" style="25" customWidth="1"/>
    <col min="11279" max="11280" width="10.5703125" style="25" bestFit="1" customWidth="1"/>
    <col min="11281" max="11281" width="3.42578125" style="25" bestFit="1" customWidth="1"/>
    <col min="11282" max="11282" width="10" style="25" customWidth="1"/>
    <col min="11283" max="11283" width="9.5703125" style="25" bestFit="1" customWidth="1"/>
    <col min="11284" max="11285" width="10.5703125" style="25" bestFit="1" customWidth="1"/>
    <col min="11286" max="11287" width="11.5703125" style="25" bestFit="1" customWidth="1"/>
    <col min="11288" max="11289" width="8" style="25" bestFit="1" customWidth="1"/>
    <col min="11290" max="11529" width="8.5703125" style="25"/>
    <col min="11530" max="11530" width="36" style="25" bestFit="1" customWidth="1"/>
    <col min="11531" max="11531" width="3.42578125" style="25" customWidth="1"/>
    <col min="11532" max="11532" width="11.5703125" style="25" bestFit="1" customWidth="1"/>
    <col min="11533" max="11533" width="9.5703125" style="25" bestFit="1" customWidth="1"/>
    <col min="11534" max="11534" width="3.42578125" style="25" customWidth="1"/>
    <col min="11535" max="11536" width="10.5703125" style="25" bestFit="1" customWidth="1"/>
    <col min="11537" max="11537" width="3.42578125" style="25" bestFit="1" customWidth="1"/>
    <col min="11538" max="11538" width="10" style="25" customWidth="1"/>
    <col min="11539" max="11539" width="9.5703125" style="25" bestFit="1" customWidth="1"/>
    <col min="11540" max="11541" width="10.5703125" style="25" bestFit="1" customWidth="1"/>
    <col min="11542" max="11543" width="11.5703125" style="25" bestFit="1" customWidth="1"/>
    <col min="11544" max="11545" width="8" style="25" bestFit="1" customWidth="1"/>
    <col min="11546" max="11785" width="8.5703125" style="25"/>
    <col min="11786" max="11786" width="36" style="25" bestFit="1" customWidth="1"/>
    <col min="11787" max="11787" width="3.42578125" style="25" customWidth="1"/>
    <col min="11788" max="11788" width="11.5703125" style="25" bestFit="1" customWidth="1"/>
    <col min="11789" max="11789" width="9.5703125" style="25" bestFit="1" customWidth="1"/>
    <col min="11790" max="11790" width="3.42578125" style="25" customWidth="1"/>
    <col min="11791" max="11792" width="10.5703125" style="25" bestFit="1" customWidth="1"/>
    <col min="11793" max="11793" width="3.42578125" style="25" bestFit="1" customWidth="1"/>
    <col min="11794" max="11794" width="10" style="25" customWidth="1"/>
    <col min="11795" max="11795" width="9.5703125" style="25" bestFit="1" customWidth="1"/>
    <col min="11796" max="11797" width="10.5703125" style="25" bestFit="1" customWidth="1"/>
    <col min="11798" max="11799" width="11.5703125" style="25" bestFit="1" customWidth="1"/>
    <col min="11800" max="11801" width="8" style="25" bestFit="1" customWidth="1"/>
    <col min="11802" max="12041" width="8.5703125" style="25"/>
    <col min="12042" max="12042" width="36" style="25" bestFit="1" customWidth="1"/>
    <col min="12043" max="12043" width="3.42578125" style="25" customWidth="1"/>
    <col min="12044" max="12044" width="11.5703125" style="25" bestFit="1" customWidth="1"/>
    <col min="12045" max="12045" width="9.5703125" style="25" bestFit="1" customWidth="1"/>
    <col min="12046" max="12046" width="3.42578125" style="25" customWidth="1"/>
    <col min="12047" max="12048" width="10.5703125" style="25" bestFit="1" customWidth="1"/>
    <col min="12049" max="12049" width="3.42578125" style="25" bestFit="1" customWidth="1"/>
    <col min="12050" max="12050" width="10" style="25" customWidth="1"/>
    <col min="12051" max="12051" width="9.5703125" style="25" bestFit="1" customWidth="1"/>
    <col min="12052" max="12053" width="10.5703125" style="25" bestFit="1" customWidth="1"/>
    <col min="12054" max="12055" width="11.5703125" style="25" bestFit="1" customWidth="1"/>
    <col min="12056" max="12057" width="8" style="25" bestFit="1" customWidth="1"/>
    <col min="12058" max="12297" width="8.5703125" style="25"/>
    <col min="12298" max="12298" width="36" style="25" bestFit="1" customWidth="1"/>
    <col min="12299" max="12299" width="3.42578125" style="25" customWidth="1"/>
    <col min="12300" max="12300" width="11.5703125" style="25" bestFit="1" customWidth="1"/>
    <col min="12301" max="12301" width="9.5703125" style="25" bestFit="1" customWidth="1"/>
    <col min="12302" max="12302" width="3.42578125" style="25" customWidth="1"/>
    <col min="12303" max="12304" width="10.5703125" style="25" bestFit="1" customWidth="1"/>
    <col min="12305" max="12305" width="3.42578125" style="25" bestFit="1" customWidth="1"/>
    <col min="12306" max="12306" width="10" style="25" customWidth="1"/>
    <col min="12307" max="12307" width="9.5703125" style="25" bestFit="1" customWidth="1"/>
    <col min="12308" max="12309" width="10.5703125" style="25" bestFit="1" customWidth="1"/>
    <col min="12310" max="12311" width="11.5703125" style="25" bestFit="1" customWidth="1"/>
    <col min="12312" max="12313" width="8" style="25" bestFit="1" customWidth="1"/>
    <col min="12314" max="12553" width="8.5703125" style="25"/>
    <col min="12554" max="12554" width="36" style="25" bestFit="1" customWidth="1"/>
    <col min="12555" max="12555" width="3.42578125" style="25" customWidth="1"/>
    <col min="12556" max="12556" width="11.5703125" style="25" bestFit="1" customWidth="1"/>
    <col min="12557" max="12557" width="9.5703125" style="25" bestFit="1" customWidth="1"/>
    <col min="12558" max="12558" width="3.42578125" style="25" customWidth="1"/>
    <col min="12559" max="12560" width="10.5703125" style="25" bestFit="1" customWidth="1"/>
    <col min="12561" max="12561" width="3.42578125" style="25" bestFit="1" customWidth="1"/>
    <col min="12562" max="12562" width="10" style="25" customWidth="1"/>
    <col min="12563" max="12563" width="9.5703125" style="25" bestFit="1" customWidth="1"/>
    <col min="12564" max="12565" width="10.5703125" style="25" bestFit="1" customWidth="1"/>
    <col min="12566" max="12567" width="11.5703125" style="25" bestFit="1" customWidth="1"/>
    <col min="12568" max="12569" width="8" style="25" bestFit="1" customWidth="1"/>
    <col min="12570" max="12809" width="8.5703125" style="25"/>
    <col min="12810" max="12810" width="36" style="25" bestFit="1" customWidth="1"/>
    <col min="12811" max="12811" width="3.42578125" style="25" customWidth="1"/>
    <col min="12812" max="12812" width="11.5703125" style="25" bestFit="1" customWidth="1"/>
    <col min="12813" max="12813" width="9.5703125" style="25" bestFit="1" customWidth="1"/>
    <col min="12814" max="12814" width="3.42578125" style="25" customWidth="1"/>
    <col min="12815" max="12816" width="10.5703125" style="25" bestFit="1" customWidth="1"/>
    <col min="12817" max="12817" width="3.42578125" style="25" bestFit="1" customWidth="1"/>
    <col min="12818" max="12818" width="10" style="25" customWidth="1"/>
    <col min="12819" max="12819" width="9.5703125" style="25" bestFit="1" customWidth="1"/>
    <col min="12820" max="12821" width="10.5703125" style="25" bestFit="1" customWidth="1"/>
    <col min="12822" max="12823" width="11.5703125" style="25" bestFit="1" customWidth="1"/>
    <col min="12824" max="12825" width="8" style="25" bestFit="1" customWidth="1"/>
    <col min="12826" max="13065" width="8.5703125" style="25"/>
    <col min="13066" max="13066" width="36" style="25" bestFit="1" customWidth="1"/>
    <col min="13067" max="13067" width="3.42578125" style="25" customWidth="1"/>
    <col min="13068" max="13068" width="11.5703125" style="25" bestFit="1" customWidth="1"/>
    <col min="13069" max="13069" width="9.5703125" style="25" bestFit="1" customWidth="1"/>
    <col min="13070" max="13070" width="3.42578125" style="25" customWidth="1"/>
    <col min="13071" max="13072" width="10.5703125" style="25" bestFit="1" customWidth="1"/>
    <col min="13073" max="13073" width="3.42578125" style="25" bestFit="1" customWidth="1"/>
    <col min="13074" max="13074" width="10" style="25" customWidth="1"/>
    <col min="13075" max="13075" width="9.5703125" style="25" bestFit="1" customWidth="1"/>
    <col min="13076" max="13077" width="10.5703125" style="25" bestFit="1" customWidth="1"/>
    <col min="13078" max="13079" width="11.5703125" style="25" bestFit="1" customWidth="1"/>
    <col min="13080" max="13081" width="8" style="25" bestFit="1" customWidth="1"/>
    <col min="13082" max="13321" width="8.5703125" style="25"/>
    <col min="13322" max="13322" width="36" style="25" bestFit="1" customWidth="1"/>
    <col min="13323" max="13323" width="3.42578125" style="25" customWidth="1"/>
    <col min="13324" max="13324" width="11.5703125" style="25" bestFit="1" customWidth="1"/>
    <col min="13325" max="13325" width="9.5703125" style="25" bestFit="1" customWidth="1"/>
    <col min="13326" max="13326" width="3.42578125" style="25" customWidth="1"/>
    <col min="13327" max="13328" width="10.5703125" style="25" bestFit="1" customWidth="1"/>
    <col min="13329" max="13329" width="3.42578125" style="25" bestFit="1" customWidth="1"/>
    <col min="13330" max="13330" width="10" style="25" customWidth="1"/>
    <col min="13331" max="13331" width="9.5703125" style="25" bestFit="1" customWidth="1"/>
    <col min="13332" max="13333" width="10.5703125" style="25" bestFit="1" customWidth="1"/>
    <col min="13334" max="13335" width="11.5703125" style="25" bestFit="1" customWidth="1"/>
    <col min="13336" max="13337" width="8" style="25" bestFit="1" customWidth="1"/>
    <col min="13338" max="13577" width="8.5703125" style="25"/>
    <col min="13578" max="13578" width="36" style="25" bestFit="1" customWidth="1"/>
    <col min="13579" max="13579" width="3.42578125" style="25" customWidth="1"/>
    <col min="13580" max="13580" width="11.5703125" style="25" bestFit="1" customWidth="1"/>
    <col min="13581" max="13581" width="9.5703125" style="25" bestFit="1" customWidth="1"/>
    <col min="13582" max="13582" width="3.42578125" style="25" customWidth="1"/>
    <col min="13583" max="13584" width="10.5703125" style="25" bestFit="1" customWidth="1"/>
    <col min="13585" max="13585" width="3.42578125" style="25" bestFit="1" customWidth="1"/>
    <col min="13586" max="13586" width="10" style="25" customWidth="1"/>
    <col min="13587" max="13587" width="9.5703125" style="25" bestFit="1" customWidth="1"/>
    <col min="13588" max="13589" width="10.5703125" style="25" bestFit="1" customWidth="1"/>
    <col min="13590" max="13591" width="11.5703125" style="25" bestFit="1" customWidth="1"/>
    <col min="13592" max="13593" width="8" style="25" bestFit="1" customWidth="1"/>
    <col min="13594" max="13833" width="8.5703125" style="25"/>
    <col min="13834" max="13834" width="36" style="25" bestFit="1" customWidth="1"/>
    <col min="13835" max="13835" width="3.42578125" style="25" customWidth="1"/>
    <col min="13836" max="13836" width="11.5703125" style="25" bestFit="1" customWidth="1"/>
    <col min="13837" max="13837" width="9.5703125" style="25" bestFit="1" customWidth="1"/>
    <col min="13838" max="13838" width="3.42578125" style="25" customWidth="1"/>
    <col min="13839" max="13840" width="10.5703125" style="25" bestFit="1" customWidth="1"/>
    <col min="13841" max="13841" width="3.42578125" style="25" bestFit="1" customWidth="1"/>
    <col min="13842" max="13842" width="10" style="25" customWidth="1"/>
    <col min="13843" max="13843" width="9.5703125" style="25" bestFit="1" customWidth="1"/>
    <col min="13844" max="13845" width="10.5703125" style="25" bestFit="1" customWidth="1"/>
    <col min="13846" max="13847" width="11.5703125" style="25" bestFit="1" customWidth="1"/>
    <col min="13848" max="13849" width="8" style="25" bestFit="1" customWidth="1"/>
    <col min="13850" max="14089" width="8.5703125" style="25"/>
    <col min="14090" max="14090" width="36" style="25" bestFit="1" customWidth="1"/>
    <col min="14091" max="14091" width="3.42578125" style="25" customWidth="1"/>
    <col min="14092" max="14092" width="11.5703125" style="25" bestFit="1" customWidth="1"/>
    <col min="14093" max="14093" width="9.5703125" style="25" bestFit="1" customWidth="1"/>
    <col min="14094" max="14094" width="3.42578125" style="25" customWidth="1"/>
    <col min="14095" max="14096" width="10.5703125" style="25" bestFit="1" customWidth="1"/>
    <col min="14097" max="14097" width="3.42578125" style="25" bestFit="1" customWidth="1"/>
    <col min="14098" max="14098" width="10" style="25" customWidth="1"/>
    <col min="14099" max="14099" width="9.5703125" style="25" bestFit="1" customWidth="1"/>
    <col min="14100" max="14101" width="10.5703125" style="25" bestFit="1" customWidth="1"/>
    <col min="14102" max="14103" width="11.5703125" style="25" bestFit="1" customWidth="1"/>
    <col min="14104" max="14105" width="8" style="25" bestFit="1" customWidth="1"/>
    <col min="14106" max="14345" width="8.5703125" style="25"/>
    <col min="14346" max="14346" width="36" style="25" bestFit="1" customWidth="1"/>
    <col min="14347" max="14347" width="3.42578125" style="25" customWidth="1"/>
    <col min="14348" max="14348" width="11.5703125" style="25" bestFit="1" customWidth="1"/>
    <col min="14349" max="14349" width="9.5703125" style="25" bestFit="1" customWidth="1"/>
    <col min="14350" max="14350" width="3.42578125" style="25" customWidth="1"/>
    <col min="14351" max="14352" width="10.5703125" style="25" bestFit="1" customWidth="1"/>
    <col min="14353" max="14353" width="3.42578125" style="25" bestFit="1" customWidth="1"/>
    <col min="14354" max="14354" width="10" style="25" customWidth="1"/>
    <col min="14355" max="14355" width="9.5703125" style="25" bestFit="1" customWidth="1"/>
    <col min="14356" max="14357" width="10.5703125" style="25" bestFit="1" customWidth="1"/>
    <col min="14358" max="14359" width="11.5703125" style="25" bestFit="1" customWidth="1"/>
    <col min="14360" max="14361" width="8" style="25" bestFit="1" customWidth="1"/>
    <col min="14362" max="14601" width="8.5703125" style="25"/>
    <col min="14602" max="14602" width="36" style="25" bestFit="1" customWidth="1"/>
    <col min="14603" max="14603" width="3.42578125" style="25" customWidth="1"/>
    <col min="14604" max="14604" width="11.5703125" style="25" bestFit="1" customWidth="1"/>
    <col min="14605" max="14605" width="9.5703125" style="25" bestFit="1" customWidth="1"/>
    <col min="14606" max="14606" width="3.42578125" style="25" customWidth="1"/>
    <col min="14607" max="14608" width="10.5703125" style="25" bestFit="1" customWidth="1"/>
    <col min="14609" max="14609" width="3.42578125" style="25" bestFit="1" customWidth="1"/>
    <col min="14610" max="14610" width="10" style="25" customWidth="1"/>
    <col min="14611" max="14611" width="9.5703125" style="25" bestFit="1" customWidth="1"/>
    <col min="14612" max="14613" width="10.5703125" style="25" bestFit="1" customWidth="1"/>
    <col min="14614" max="14615" width="11.5703125" style="25" bestFit="1" customWidth="1"/>
    <col min="14616" max="14617" width="8" style="25" bestFit="1" customWidth="1"/>
    <col min="14618" max="14857" width="8.5703125" style="25"/>
    <col min="14858" max="14858" width="36" style="25" bestFit="1" customWidth="1"/>
    <col min="14859" max="14859" width="3.42578125" style="25" customWidth="1"/>
    <col min="14860" max="14860" width="11.5703125" style="25" bestFit="1" customWidth="1"/>
    <col min="14861" max="14861" width="9.5703125" style="25" bestFit="1" customWidth="1"/>
    <col min="14862" max="14862" width="3.42578125" style="25" customWidth="1"/>
    <col min="14863" max="14864" width="10.5703125" style="25" bestFit="1" customWidth="1"/>
    <col min="14865" max="14865" width="3.42578125" style="25" bestFit="1" customWidth="1"/>
    <col min="14866" max="14866" width="10" style="25" customWidth="1"/>
    <col min="14867" max="14867" width="9.5703125" style="25" bestFit="1" customWidth="1"/>
    <col min="14868" max="14869" width="10.5703125" style="25" bestFit="1" customWidth="1"/>
    <col min="14870" max="14871" width="11.5703125" style="25" bestFit="1" customWidth="1"/>
    <col min="14872" max="14873" width="8" style="25" bestFit="1" customWidth="1"/>
    <col min="14874" max="15113" width="8.5703125" style="25"/>
    <col min="15114" max="15114" width="36" style="25" bestFit="1" customWidth="1"/>
    <col min="15115" max="15115" width="3.42578125" style="25" customWidth="1"/>
    <col min="15116" max="15116" width="11.5703125" style="25" bestFit="1" customWidth="1"/>
    <col min="15117" max="15117" width="9.5703125" style="25" bestFit="1" customWidth="1"/>
    <col min="15118" max="15118" width="3.42578125" style="25" customWidth="1"/>
    <col min="15119" max="15120" width="10.5703125" style="25" bestFit="1" customWidth="1"/>
    <col min="15121" max="15121" width="3.42578125" style="25" bestFit="1" customWidth="1"/>
    <col min="15122" max="15122" width="10" style="25" customWidth="1"/>
    <col min="15123" max="15123" width="9.5703125" style="25" bestFit="1" customWidth="1"/>
    <col min="15124" max="15125" width="10.5703125" style="25" bestFit="1" customWidth="1"/>
    <col min="15126" max="15127" width="11.5703125" style="25" bestFit="1" customWidth="1"/>
    <col min="15128" max="15129" width="8" style="25" bestFit="1" customWidth="1"/>
    <col min="15130" max="15369" width="8.5703125" style="25"/>
    <col min="15370" max="15370" width="36" style="25" bestFit="1" customWidth="1"/>
    <col min="15371" max="15371" width="3.42578125" style="25" customWidth="1"/>
    <col min="15372" max="15372" width="11.5703125" style="25" bestFit="1" customWidth="1"/>
    <col min="15373" max="15373" width="9.5703125" style="25" bestFit="1" customWidth="1"/>
    <col min="15374" max="15374" width="3.42578125" style="25" customWidth="1"/>
    <col min="15375" max="15376" width="10.5703125" style="25" bestFit="1" customWidth="1"/>
    <col min="15377" max="15377" width="3.42578125" style="25" bestFit="1" customWidth="1"/>
    <col min="15378" max="15378" width="10" style="25" customWidth="1"/>
    <col min="15379" max="15379" width="9.5703125" style="25" bestFit="1" customWidth="1"/>
    <col min="15380" max="15381" width="10.5703125" style="25" bestFit="1" customWidth="1"/>
    <col min="15382" max="15383" width="11.5703125" style="25" bestFit="1" customWidth="1"/>
    <col min="15384" max="15385" width="8" style="25" bestFit="1" customWidth="1"/>
    <col min="15386" max="15625" width="8.5703125" style="25"/>
    <col min="15626" max="15626" width="36" style="25" bestFit="1" customWidth="1"/>
    <col min="15627" max="15627" width="3.42578125" style="25" customWidth="1"/>
    <col min="15628" max="15628" width="11.5703125" style="25" bestFit="1" customWidth="1"/>
    <col min="15629" max="15629" width="9.5703125" style="25" bestFit="1" customWidth="1"/>
    <col min="15630" max="15630" width="3.42578125" style="25" customWidth="1"/>
    <col min="15631" max="15632" width="10.5703125" style="25" bestFit="1" customWidth="1"/>
    <col min="15633" max="15633" width="3.42578125" style="25" bestFit="1" customWidth="1"/>
    <col min="15634" max="15634" width="10" style="25" customWidth="1"/>
    <col min="15635" max="15635" width="9.5703125" style="25" bestFit="1" customWidth="1"/>
    <col min="15636" max="15637" width="10.5703125" style="25" bestFit="1" customWidth="1"/>
    <col min="15638" max="15639" width="11.5703125" style="25" bestFit="1" customWidth="1"/>
    <col min="15640" max="15641" width="8" style="25" bestFit="1" customWidth="1"/>
    <col min="15642" max="15881" width="8.5703125" style="25"/>
    <col min="15882" max="15882" width="36" style="25" bestFit="1" customWidth="1"/>
    <col min="15883" max="15883" width="3.42578125" style="25" customWidth="1"/>
    <col min="15884" max="15884" width="11.5703125" style="25" bestFit="1" customWidth="1"/>
    <col min="15885" max="15885" width="9.5703125" style="25" bestFit="1" customWidth="1"/>
    <col min="15886" max="15886" width="3.42578125" style="25" customWidth="1"/>
    <col min="15887" max="15888" width="10.5703125" style="25" bestFit="1" customWidth="1"/>
    <col min="15889" max="15889" width="3.42578125" style="25" bestFit="1" customWidth="1"/>
    <col min="15890" max="15890" width="10" style="25" customWidth="1"/>
    <col min="15891" max="15891" width="9.5703125" style="25" bestFit="1" customWidth="1"/>
    <col min="15892" max="15893" width="10.5703125" style="25" bestFit="1" customWidth="1"/>
    <col min="15894" max="15895" width="11.5703125" style="25" bestFit="1" customWidth="1"/>
    <col min="15896" max="15897" width="8" style="25" bestFit="1" customWidth="1"/>
    <col min="15898" max="16137" width="8.5703125" style="25"/>
    <col min="16138" max="16138" width="36" style="25" bestFit="1" customWidth="1"/>
    <col min="16139" max="16139" width="3.42578125" style="25" customWidth="1"/>
    <col min="16140" max="16140" width="11.5703125" style="25" bestFit="1" customWidth="1"/>
    <col min="16141" max="16141" width="9.5703125" style="25" bestFit="1" customWidth="1"/>
    <col min="16142" max="16142" width="3.42578125" style="25" customWidth="1"/>
    <col min="16143" max="16144" width="10.5703125" style="25" bestFit="1" customWidth="1"/>
    <col min="16145" max="16145" width="3.42578125" style="25" bestFit="1" customWidth="1"/>
    <col min="16146" max="16146" width="10" style="25" customWidth="1"/>
    <col min="16147" max="16147" width="9.5703125" style="25" bestFit="1" customWidth="1"/>
    <col min="16148" max="16149" width="10.5703125" style="25" bestFit="1" customWidth="1"/>
    <col min="16150" max="16151" width="11.5703125" style="25" bestFit="1" customWidth="1"/>
    <col min="16152" max="16153" width="8" style="25" bestFit="1" customWidth="1"/>
    <col min="16154" max="16384" width="8.5703125" style="25"/>
  </cols>
  <sheetData>
    <row r="1" spans="1:24">
      <c r="A1" s="158" t="s">
        <v>484</v>
      </c>
      <c r="B1" s="158"/>
      <c r="C1" s="158"/>
      <c r="D1" s="158"/>
      <c r="E1" s="158"/>
      <c r="F1" s="158"/>
      <c r="G1" s="158"/>
      <c r="H1" s="158"/>
      <c r="I1" s="158"/>
      <c r="J1" s="158"/>
      <c r="K1" s="158"/>
      <c r="L1" s="158"/>
      <c r="M1" s="158"/>
      <c r="N1" s="158"/>
      <c r="O1" s="158"/>
      <c r="P1" s="158"/>
      <c r="Q1" s="158"/>
      <c r="R1" s="158"/>
      <c r="S1" s="158"/>
      <c r="T1" s="158"/>
      <c r="U1" s="158"/>
      <c r="V1" s="158"/>
      <c r="W1" s="158"/>
    </row>
    <row r="2" spans="1:24">
      <c r="A2" s="158" t="s">
        <v>485</v>
      </c>
      <c r="B2" s="158"/>
      <c r="C2" s="158"/>
      <c r="D2" s="158"/>
      <c r="E2" s="158"/>
      <c r="F2" s="158"/>
      <c r="G2" s="158"/>
      <c r="H2" s="158"/>
      <c r="I2" s="158"/>
      <c r="J2" s="158"/>
      <c r="K2" s="158"/>
      <c r="L2" s="158"/>
      <c r="M2" s="158"/>
      <c r="N2" s="158"/>
      <c r="O2" s="158"/>
      <c r="P2" s="158"/>
      <c r="Q2" s="158"/>
      <c r="R2" s="158"/>
      <c r="S2" s="158"/>
      <c r="T2" s="158"/>
      <c r="U2" s="158"/>
      <c r="V2" s="158"/>
      <c r="W2" s="158"/>
    </row>
    <row r="3" spans="1:24">
      <c r="A3" s="158" t="s">
        <v>59</v>
      </c>
      <c r="B3" s="158"/>
      <c r="C3" s="158"/>
      <c r="D3" s="158"/>
      <c r="E3" s="158"/>
      <c r="F3" s="158"/>
      <c r="G3" s="158"/>
      <c r="H3" s="158"/>
      <c r="I3" s="158"/>
      <c r="J3" s="158"/>
      <c r="K3" s="158"/>
      <c r="L3" s="158"/>
      <c r="M3" s="158"/>
      <c r="N3" s="158"/>
      <c r="O3" s="158"/>
      <c r="P3" s="158"/>
      <c r="Q3" s="158"/>
      <c r="R3" s="158"/>
      <c r="S3" s="158"/>
      <c r="T3" s="158"/>
      <c r="U3" s="158"/>
      <c r="V3" s="158"/>
      <c r="W3" s="158"/>
    </row>
    <row r="4" spans="1:24">
      <c r="A4" s="145"/>
      <c r="G4" s="147"/>
      <c r="K4" s="143"/>
      <c r="L4" s="143"/>
    </row>
    <row r="5" spans="1:24">
      <c r="A5" s="27" t="s">
        <v>486</v>
      </c>
      <c r="G5" s="147"/>
      <c r="K5" s="147"/>
      <c r="L5" s="147"/>
      <c r="U5" s="25">
        <f>SUM(U9:U95)-SUM(W14:W99)+W88</f>
        <v>2273330</v>
      </c>
      <c r="W5" s="71">
        <f>+'GF BS Conversion'!N55</f>
        <v>-580000</v>
      </c>
      <c r="X5" s="25">
        <f>+W5-U5</f>
        <v>-2853330</v>
      </c>
    </row>
    <row r="6" spans="1:24">
      <c r="A6" s="27"/>
      <c r="C6" s="153" t="s">
        <v>487</v>
      </c>
      <c r="D6" s="153"/>
      <c r="E6" s="153"/>
      <c r="F6" s="143"/>
      <c r="G6" s="147"/>
      <c r="K6" s="147"/>
      <c r="L6" s="147"/>
      <c r="M6" s="153" t="s">
        <v>488</v>
      </c>
      <c r="N6" s="153"/>
      <c r="O6" s="153"/>
      <c r="P6" s="143"/>
      <c r="Q6" s="153" t="s">
        <v>469</v>
      </c>
      <c r="R6" s="153"/>
      <c r="S6" s="153"/>
      <c r="T6" s="143"/>
      <c r="U6" s="153" t="s">
        <v>469</v>
      </c>
      <c r="V6" s="153"/>
      <c r="W6" s="153"/>
    </row>
    <row r="7" spans="1:24">
      <c r="A7" s="95" t="s">
        <v>489</v>
      </c>
      <c r="C7" s="153" t="s">
        <v>490</v>
      </c>
      <c r="D7" s="153"/>
      <c r="E7" s="153"/>
      <c r="F7" s="143"/>
      <c r="G7" s="147"/>
      <c r="H7" s="153" t="s">
        <v>491</v>
      </c>
      <c r="I7" s="153"/>
      <c r="J7" s="153"/>
      <c r="K7" s="147"/>
      <c r="L7" s="147"/>
      <c r="M7" s="153" t="s">
        <v>492</v>
      </c>
      <c r="N7" s="153"/>
      <c r="O7" s="153"/>
      <c r="P7" s="143"/>
      <c r="Q7" s="153" t="s">
        <v>464</v>
      </c>
      <c r="R7" s="153"/>
      <c r="S7" s="153"/>
      <c r="T7" s="143"/>
      <c r="U7" s="153" t="s">
        <v>493</v>
      </c>
      <c r="V7" s="153"/>
      <c r="W7" s="153"/>
    </row>
    <row r="8" spans="1:24">
      <c r="A8" s="27"/>
      <c r="C8" s="97" t="s">
        <v>494</v>
      </c>
      <c r="D8" s="97"/>
      <c r="E8" s="97" t="s">
        <v>495</v>
      </c>
      <c r="F8" s="143"/>
      <c r="G8" s="96" t="s">
        <v>496</v>
      </c>
      <c r="H8" s="97" t="s">
        <v>494</v>
      </c>
      <c r="I8" s="97"/>
      <c r="J8" s="97" t="s">
        <v>495</v>
      </c>
      <c r="K8" s="96" t="s">
        <v>496</v>
      </c>
      <c r="L8" s="147"/>
      <c r="M8" s="97" t="s">
        <v>494</v>
      </c>
      <c r="N8" s="97"/>
      <c r="O8" s="97" t="s">
        <v>495</v>
      </c>
      <c r="P8" s="143"/>
      <c r="Q8" s="97" t="s">
        <v>494</v>
      </c>
      <c r="R8" s="97"/>
      <c r="S8" s="97" t="s">
        <v>495</v>
      </c>
      <c r="T8" s="143"/>
      <c r="U8" s="97" t="s">
        <v>494</v>
      </c>
      <c r="V8" s="97"/>
      <c r="W8" s="97" t="s">
        <v>495</v>
      </c>
    </row>
    <row r="9" spans="1:24">
      <c r="A9" s="27" t="s">
        <v>14</v>
      </c>
      <c r="C9" s="28">
        <f>+'Gov Fund BS'!M10</f>
        <v>0</v>
      </c>
      <c r="E9" s="28"/>
      <c r="G9" s="96">
        <v>18</v>
      </c>
      <c r="H9" s="77">
        <f>+'CCN SNP'!D8</f>
        <v>0</v>
      </c>
      <c r="I9" s="31"/>
      <c r="J9" s="28"/>
      <c r="K9" s="96"/>
      <c r="L9" s="147"/>
      <c r="M9" s="119">
        <f>+C9+H9-J9</f>
        <v>0</v>
      </c>
      <c r="O9" s="28"/>
      <c r="Q9" s="28"/>
      <c r="S9" s="28"/>
      <c r="U9" s="28">
        <f>+M9</f>
        <v>0</v>
      </c>
      <c r="W9" s="28"/>
    </row>
    <row r="10" spans="1:24">
      <c r="A10" s="27" t="s">
        <v>16</v>
      </c>
      <c r="C10" s="27">
        <f>+'Gov Fund BS'!M11</f>
        <v>0</v>
      </c>
      <c r="D10" s="27"/>
      <c r="G10" s="147"/>
      <c r="K10" s="147"/>
      <c r="L10" s="147"/>
      <c r="M10" s="108">
        <f>+C10+H10-J10</f>
        <v>0</v>
      </c>
      <c r="N10" s="27"/>
      <c r="Q10" s="27"/>
      <c r="R10" s="27"/>
      <c r="S10" s="27"/>
      <c r="T10" s="27"/>
      <c r="U10" s="27">
        <f>+M10</f>
        <v>0</v>
      </c>
      <c r="V10" s="27"/>
      <c r="W10" s="27"/>
    </row>
    <row r="11" spans="1:24">
      <c r="A11" s="27" t="s">
        <v>497</v>
      </c>
      <c r="C11" s="27">
        <f>+'Gov Fund BS'!M14</f>
        <v>0</v>
      </c>
      <c r="D11" s="27"/>
      <c r="G11" s="147"/>
      <c r="J11" s="31">
        <f>+C11</f>
        <v>0</v>
      </c>
      <c r="K11" s="147">
        <v>19</v>
      </c>
      <c r="L11" s="147"/>
      <c r="M11" s="27">
        <f>+C11+H11-J11</f>
        <v>0</v>
      </c>
      <c r="N11" s="27"/>
      <c r="Q11" s="27"/>
      <c r="R11" s="27"/>
      <c r="S11" s="27"/>
      <c r="T11" s="27"/>
      <c r="U11" s="27"/>
      <c r="V11" s="27"/>
      <c r="W11" s="27"/>
    </row>
    <row r="12" spans="1:24">
      <c r="A12" s="27" t="s">
        <v>121</v>
      </c>
      <c r="C12" s="27">
        <f>+'Gov Fund BS'!M13</f>
        <v>0</v>
      </c>
      <c r="D12" s="27"/>
      <c r="G12" s="147"/>
      <c r="H12" s="27"/>
      <c r="I12" s="27"/>
      <c r="J12" s="27"/>
      <c r="K12" s="147"/>
      <c r="L12" s="147"/>
      <c r="M12" s="108">
        <f>+C12+H12-J12</f>
        <v>0</v>
      </c>
      <c r="N12" s="27"/>
      <c r="Q12" s="27"/>
      <c r="R12" s="27"/>
      <c r="S12" s="27"/>
      <c r="T12" s="27"/>
      <c r="U12" s="27">
        <f>+M12</f>
        <v>0</v>
      </c>
      <c r="V12" s="27"/>
      <c r="W12" s="27"/>
    </row>
    <row r="13" spans="1:24">
      <c r="A13" s="27" t="s">
        <v>19</v>
      </c>
      <c r="C13" s="27">
        <f>+'GF BS'!D10+'Gen DSF BS'!D9</f>
        <v>0</v>
      </c>
      <c r="D13" s="27"/>
      <c r="G13" s="147"/>
      <c r="H13" s="27"/>
      <c r="I13" s="27"/>
      <c r="J13" s="27"/>
      <c r="K13" s="147"/>
      <c r="L13" s="147"/>
      <c r="M13" s="108">
        <f>+C13+H13-J13</f>
        <v>0</v>
      </c>
      <c r="N13" s="108"/>
      <c r="O13" s="118"/>
      <c r="Q13" s="27"/>
      <c r="R13" s="27"/>
      <c r="S13" s="27"/>
      <c r="T13" s="27"/>
      <c r="U13" s="27">
        <f>+M13</f>
        <v>0</v>
      </c>
      <c r="V13" s="27"/>
      <c r="W13" s="27"/>
    </row>
    <row r="14" spans="1:24">
      <c r="A14" s="27" t="s">
        <v>20</v>
      </c>
      <c r="E14" s="27">
        <f>-'GF BS'!D11-'Gen DSF BS'!D10</f>
        <v>0</v>
      </c>
      <c r="F14" s="27"/>
      <c r="G14" s="147"/>
      <c r="H14" s="27"/>
      <c r="I14" s="27"/>
      <c r="J14" s="27"/>
      <c r="K14" s="147"/>
      <c r="L14" s="147"/>
      <c r="M14" s="118"/>
      <c r="N14" s="118"/>
      <c r="O14" s="118">
        <f>+E14+J14-H14</f>
        <v>0</v>
      </c>
      <c r="Q14" s="27"/>
      <c r="R14" s="27"/>
      <c r="S14" s="27"/>
      <c r="T14" s="27"/>
      <c r="U14" s="27"/>
      <c r="V14" s="27"/>
      <c r="W14" s="27">
        <f>+O14</f>
        <v>0</v>
      </c>
    </row>
    <row r="15" spans="1:24">
      <c r="A15" s="27" t="s">
        <v>498</v>
      </c>
      <c r="C15" s="27">
        <f>+'GF BS'!D13+'Gen DSF BS'!D11</f>
        <v>0</v>
      </c>
      <c r="D15" s="27"/>
      <c r="G15" s="147"/>
      <c r="H15" s="27"/>
      <c r="I15" s="27"/>
      <c r="J15" s="27"/>
      <c r="K15" s="147"/>
      <c r="L15" s="147"/>
      <c r="M15" s="108">
        <f>+C15+H15-J15</f>
        <v>0</v>
      </c>
      <c r="N15" s="108"/>
      <c r="O15" s="118"/>
      <c r="Q15" s="27"/>
      <c r="R15" s="27"/>
      <c r="S15" s="27"/>
      <c r="T15" s="27"/>
      <c r="U15" s="27">
        <f>+M15</f>
        <v>0</v>
      </c>
      <c r="V15" s="27"/>
      <c r="W15" s="27"/>
    </row>
    <row r="16" spans="1:24">
      <c r="A16" s="27" t="s">
        <v>22</v>
      </c>
      <c r="E16" s="27">
        <f>-'GF BS'!D14-'Gen DSF BS'!D12</f>
        <v>0</v>
      </c>
      <c r="F16" s="27"/>
      <c r="G16" s="147"/>
      <c r="H16" s="27"/>
      <c r="I16" s="27"/>
      <c r="J16" s="27"/>
      <c r="K16" s="147"/>
      <c r="L16" s="147"/>
      <c r="M16" s="118"/>
      <c r="N16" s="118"/>
      <c r="O16" s="118">
        <f>+E16+J16-H16</f>
        <v>0</v>
      </c>
      <c r="Q16" s="27"/>
      <c r="R16" s="27"/>
      <c r="S16" s="27"/>
      <c r="T16" s="27"/>
      <c r="U16" s="27"/>
      <c r="V16" s="27"/>
      <c r="W16" s="27">
        <f>+O16</f>
        <v>0</v>
      </c>
    </row>
    <row r="17" spans="1:23">
      <c r="A17" s="27" t="s">
        <v>53</v>
      </c>
      <c r="C17" s="27">
        <f>+'Gov Fund BS'!M16</f>
        <v>0</v>
      </c>
      <c r="D17" s="27"/>
      <c r="G17" s="147"/>
      <c r="H17" s="27"/>
      <c r="I17" s="27"/>
      <c r="J17" s="27"/>
      <c r="K17" s="147"/>
      <c r="L17" s="147"/>
      <c r="M17" s="108">
        <f>+C17+H17-J17</f>
        <v>0</v>
      </c>
      <c r="N17" s="27"/>
      <c r="Q17" s="27"/>
      <c r="R17" s="27"/>
      <c r="S17" s="27"/>
      <c r="T17" s="27"/>
      <c r="U17" s="27">
        <f>+M17</f>
        <v>0</v>
      </c>
      <c r="V17" s="27"/>
      <c r="W17" s="27"/>
    </row>
    <row r="18" spans="1:23">
      <c r="A18" s="27" t="s">
        <v>23</v>
      </c>
      <c r="C18" s="27">
        <f>+'Gov Fund BS'!M12</f>
        <v>0</v>
      </c>
      <c r="D18" s="27"/>
      <c r="G18" s="147"/>
      <c r="H18" s="27"/>
      <c r="I18" s="27"/>
      <c r="J18" s="27"/>
      <c r="K18" s="147"/>
      <c r="L18" s="147"/>
      <c r="M18" s="108">
        <f>+C18+H18-J18</f>
        <v>0</v>
      </c>
      <c r="N18" s="27"/>
      <c r="Q18" s="27"/>
      <c r="R18" s="27"/>
      <c r="S18" s="27"/>
      <c r="T18" s="27"/>
      <c r="U18" s="27">
        <f>+M18</f>
        <v>0</v>
      </c>
      <c r="V18" s="27"/>
      <c r="W18" s="27"/>
    </row>
    <row r="19" spans="1:23">
      <c r="A19" s="27" t="s">
        <v>24</v>
      </c>
      <c r="C19" s="27">
        <f>+'Gov Fund BS'!M18</f>
        <v>0</v>
      </c>
      <c r="D19" s="27"/>
      <c r="G19" s="147">
        <v>18</v>
      </c>
      <c r="H19" s="27">
        <f>+'CCN SNP'!D11</f>
        <v>0</v>
      </c>
      <c r="I19" s="27"/>
      <c r="J19" s="27"/>
      <c r="K19" s="147"/>
      <c r="L19" s="147"/>
      <c r="M19" s="108">
        <f>+C19+H19-J19</f>
        <v>0</v>
      </c>
      <c r="N19" s="27"/>
      <c r="Q19" s="27"/>
      <c r="R19" s="27"/>
      <c r="S19" s="27"/>
      <c r="T19" s="27"/>
      <c r="U19" s="27">
        <f>+M19</f>
        <v>0</v>
      </c>
      <c r="V19" s="27"/>
      <c r="W19" s="27"/>
    </row>
    <row r="20" spans="1:23">
      <c r="A20" s="27" t="s">
        <v>25</v>
      </c>
      <c r="E20" s="27">
        <f>+'Gov Fund BS'!M23</f>
        <v>0</v>
      </c>
      <c r="F20" s="27"/>
      <c r="G20" s="147"/>
      <c r="H20" s="27"/>
      <c r="I20" s="27"/>
      <c r="J20" s="27">
        <f>+'CCN SNP'!D23</f>
        <v>0</v>
      </c>
      <c r="K20" s="147">
        <v>18</v>
      </c>
      <c r="L20" s="147"/>
      <c r="O20" s="118">
        <f t="shared" ref="O20:O27" si="0">+E20+J20-H20</f>
        <v>0</v>
      </c>
      <c r="Q20" s="27"/>
      <c r="R20" s="27"/>
      <c r="S20" s="27"/>
      <c r="T20" s="27"/>
      <c r="U20" s="27"/>
      <c r="V20" s="27"/>
      <c r="W20" s="27">
        <f t="shared" ref="W20:W24" si="1">+O20</f>
        <v>0</v>
      </c>
    </row>
    <row r="21" spans="1:23">
      <c r="A21" s="27" t="s">
        <v>26</v>
      </c>
      <c r="E21" s="27">
        <f>+'Gov Fund BS'!M24</f>
        <v>0</v>
      </c>
      <c r="F21" s="27"/>
      <c r="G21" s="147"/>
      <c r="H21" s="27"/>
      <c r="I21" s="27"/>
      <c r="J21" s="27">
        <f>+'CCN SNP'!D24</f>
        <v>0</v>
      </c>
      <c r="K21" s="147">
        <v>18</v>
      </c>
      <c r="L21" s="147"/>
      <c r="O21" s="118">
        <f t="shared" si="0"/>
        <v>0</v>
      </c>
      <c r="Q21" s="27"/>
      <c r="R21" s="27"/>
      <c r="S21" s="27"/>
      <c r="T21" s="27"/>
      <c r="U21" s="27"/>
      <c r="V21" s="27"/>
      <c r="W21" s="27">
        <f t="shared" si="1"/>
        <v>0</v>
      </c>
    </row>
    <row r="22" spans="1:23">
      <c r="A22" s="27" t="s">
        <v>499</v>
      </c>
      <c r="E22" s="27">
        <f>+'Gov Fund BS'!M25</f>
        <v>0</v>
      </c>
      <c r="F22" s="27"/>
      <c r="G22" s="147"/>
      <c r="H22" s="27"/>
      <c r="I22" s="27"/>
      <c r="J22" s="27"/>
      <c r="K22" s="147"/>
      <c r="L22" s="147"/>
      <c r="O22" s="118">
        <f t="shared" si="0"/>
        <v>0</v>
      </c>
      <c r="Q22" s="27"/>
      <c r="R22" s="27"/>
      <c r="S22" s="27"/>
      <c r="T22" s="27"/>
      <c r="U22" s="27"/>
      <c r="V22" s="27"/>
      <c r="W22" s="27">
        <f t="shared" si="1"/>
        <v>0</v>
      </c>
    </row>
    <row r="23" spans="1:23">
      <c r="A23" s="27" t="s">
        <v>500</v>
      </c>
      <c r="E23" s="27">
        <f>+'Gov Fund BS'!M32</f>
        <v>0</v>
      </c>
      <c r="F23" s="27"/>
      <c r="G23" s="147">
        <v>17</v>
      </c>
      <c r="H23" s="27">
        <f>+E23</f>
        <v>0</v>
      </c>
      <c r="I23" s="27"/>
      <c r="J23" s="27"/>
      <c r="K23" s="147"/>
      <c r="L23" s="147"/>
      <c r="O23" s="25">
        <f t="shared" si="0"/>
        <v>0</v>
      </c>
      <c r="Q23" s="27"/>
      <c r="R23" s="27"/>
      <c r="S23" s="27"/>
      <c r="T23" s="27"/>
      <c r="U23" s="27"/>
      <c r="V23" s="27"/>
      <c r="W23" s="27"/>
    </row>
    <row r="24" spans="1:23">
      <c r="A24" s="27" t="s">
        <v>482</v>
      </c>
      <c r="E24" s="27">
        <f>+'Gov Fund BS'!M29</f>
        <v>0</v>
      </c>
      <c r="F24" s="27"/>
      <c r="G24" s="147"/>
      <c r="H24" s="27"/>
      <c r="I24" s="27"/>
      <c r="J24" s="27"/>
      <c r="K24" s="147"/>
      <c r="L24" s="147"/>
      <c r="O24" s="25">
        <f t="shared" si="0"/>
        <v>0</v>
      </c>
      <c r="Q24" s="27"/>
      <c r="R24" s="27"/>
      <c r="S24" s="27"/>
      <c r="T24" s="27"/>
      <c r="U24" s="27"/>
      <c r="V24" s="27"/>
      <c r="W24" s="27">
        <f t="shared" si="1"/>
        <v>0</v>
      </c>
    </row>
    <row r="25" spans="1:23">
      <c r="A25" s="27" t="s">
        <v>28</v>
      </c>
      <c r="E25" s="27">
        <f>+'Gov Fund BS'!M27</f>
        <v>0</v>
      </c>
      <c r="F25" s="27"/>
      <c r="G25" s="147">
        <v>19</v>
      </c>
      <c r="H25" s="27">
        <f>+E25</f>
        <v>0</v>
      </c>
      <c r="I25" s="27"/>
      <c r="J25" s="27"/>
      <c r="K25" s="147"/>
      <c r="L25" s="147"/>
      <c r="O25" s="25">
        <f t="shared" si="0"/>
        <v>0</v>
      </c>
      <c r="Q25" s="27"/>
      <c r="R25" s="27"/>
      <c r="S25" s="27"/>
      <c r="T25" s="27"/>
      <c r="U25" s="27"/>
      <c r="V25" s="27"/>
      <c r="W25" s="27"/>
    </row>
    <row r="26" spans="1:23">
      <c r="A26" s="27" t="s">
        <v>105</v>
      </c>
      <c r="E26" s="27">
        <f>+'Gov Fund BS'!M28</f>
        <v>0</v>
      </c>
      <c r="F26" s="27"/>
      <c r="G26" s="147">
        <v>21</v>
      </c>
      <c r="H26" s="27">
        <f>+E26</f>
        <v>0</v>
      </c>
      <c r="I26" s="27"/>
      <c r="J26" s="27"/>
      <c r="K26" s="147"/>
      <c r="L26" s="147"/>
      <c r="O26" s="25">
        <f t="shared" si="0"/>
        <v>0</v>
      </c>
      <c r="Q26" s="27"/>
      <c r="R26" s="27"/>
      <c r="S26" s="27"/>
      <c r="T26" s="27"/>
      <c r="U26" s="27"/>
      <c r="V26" s="27"/>
      <c r="W26" s="27"/>
    </row>
    <row r="27" spans="1:23">
      <c r="A27" s="27" t="s">
        <v>130</v>
      </c>
      <c r="E27" s="25">
        <f>+'Gov Fund BS'!M26</f>
        <v>0</v>
      </c>
      <c r="G27" s="147">
        <v>19</v>
      </c>
      <c r="H27" s="27">
        <f>+E27</f>
        <v>0</v>
      </c>
      <c r="I27" s="27"/>
      <c r="J27" s="27"/>
      <c r="K27" s="147"/>
      <c r="L27" s="147"/>
      <c r="O27" s="25">
        <f t="shared" si="0"/>
        <v>0</v>
      </c>
      <c r="Q27" s="27"/>
      <c r="R27" s="27"/>
      <c r="S27" s="27"/>
      <c r="T27" s="27"/>
      <c r="U27" s="27"/>
      <c r="V27" s="27"/>
      <c r="W27" s="27"/>
    </row>
    <row r="28" spans="1:23" hidden="1">
      <c r="A28" s="27" t="s">
        <v>501</v>
      </c>
      <c r="G28" s="147"/>
      <c r="H28" s="27"/>
      <c r="I28" s="27"/>
      <c r="J28" s="27"/>
      <c r="K28" s="147"/>
      <c r="L28" s="147"/>
      <c r="Q28" s="27"/>
      <c r="R28" s="27"/>
      <c r="S28" s="27"/>
      <c r="T28" s="27"/>
      <c r="U28" s="27"/>
      <c r="V28" s="27"/>
      <c r="W28" s="27"/>
    </row>
    <row r="29" spans="1:23">
      <c r="A29" s="27" t="s">
        <v>502</v>
      </c>
      <c r="E29" s="25">
        <f>SUM(C9:C68)-SUM(E32:E68)-SUM(E14:E27)</f>
        <v>0</v>
      </c>
      <c r="G29" s="147">
        <v>22</v>
      </c>
      <c r="H29" s="27">
        <f>+E29</f>
        <v>0</v>
      </c>
      <c r="I29" s="27"/>
      <c r="J29" s="27"/>
      <c r="K29" s="147"/>
      <c r="L29" s="147"/>
      <c r="O29" s="25">
        <f>+E29-H29</f>
        <v>0</v>
      </c>
      <c r="Q29" s="27"/>
      <c r="R29" s="27"/>
      <c r="S29" s="27"/>
      <c r="T29" s="27"/>
      <c r="U29" s="27"/>
      <c r="V29" s="27"/>
      <c r="W29" s="27"/>
    </row>
    <row r="30" spans="1:23">
      <c r="A30" s="27"/>
      <c r="G30" s="147"/>
      <c r="H30" s="27"/>
      <c r="I30" s="27"/>
      <c r="J30" s="27"/>
      <c r="K30" s="147"/>
      <c r="L30" s="147"/>
      <c r="Q30" s="27"/>
      <c r="R30" s="27"/>
      <c r="S30" s="27"/>
      <c r="T30" s="27"/>
      <c r="U30" s="27"/>
      <c r="V30" s="27"/>
      <c r="W30" s="27"/>
    </row>
    <row r="31" spans="1:23">
      <c r="A31" s="85" t="s">
        <v>503</v>
      </c>
      <c r="G31" s="147"/>
      <c r="H31" s="27"/>
      <c r="I31" s="27"/>
      <c r="J31" s="27"/>
      <c r="K31" s="147"/>
      <c r="L31" s="147"/>
      <c r="Q31" s="27"/>
      <c r="R31" s="27"/>
      <c r="S31" s="27"/>
      <c r="T31" s="27"/>
      <c r="U31" s="27"/>
      <c r="V31" s="27"/>
      <c r="W31" s="27"/>
    </row>
    <row r="32" spans="1:23">
      <c r="A32" s="27" t="s">
        <v>61</v>
      </c>
      <c r="E32" s="25">
        <f>+'Gov Fund OS'!L10</f>
        <v>0</v>
      </c>
      <c r="G32" s="147"/>
      <c r="H32" s="27"/>
      <c r="I32" s="27"/>
      <c r="J32" s="27"/>
      <c r="K32" s="147">
        <v>17</v>
      </c>
      <c r="L32" s="147"/>
      <c r="O32" s="25">
        <f t="shared" ref="O32:O37" si="2">+E32+J32-H32</f>
        <v>0</v>
      </c>
      <c r="Q32" s="27"/>
      <c r="R32" s="27"/>
      <c r="S32" s="27">
        <f t="shared" ref="S32:S37" si="3">+O32</f>
        <v>0</v>
      </c>
      <c r="T32" s="27"/>
      <c r="U32" s="27"/>
      <c r="V32" s="27"/>
      <c r="W32" s="27"/>
    </row>
    <row r="33" spans="1:23">
      <c r="A33" s="27" t="s">
        <v>426</v>
      </c>
      <c r="E33" s="25">
        <f>+'Gov Fund OS'!L11</f>
        <v>0</v>
      </c>
      <c r="G33" s="147"/>
      <c r="H33" s="27"/>
      <c r="I33" s="27"/>
      <c r="J33" s="27"/>
      <c r="K33" s="147">
        <v>17</v>
      </c>
      <c r="L33" s="147"/>
      <c r="O33" s="25">
        <f t="shared" si="2"/>
        <v>0</v>
      </c>
      <c r="Q33" s="27"/>
      <c r="R33" s="27"/>
      <c r="S33" s="27">
        <f t="shared" si="3"/>
        <v>0</v>
      </c>
      <c r="T33" s="27"/>
      <c r="U33" s="27"/>
      <c r="V33" s="27"/>
      <c r="W33" s="27"/>
    </row>
    <row r="34" spans="1:23">
      <c r="A34" s="27" t="s">
        <v>427</v>
      </c>
      <c r="E34" s="25">
        <f>+'Gov Fund OS'!L12</f>
        <v>0</v>
      </c>
      <c r="G34" s="147"/>
      <c r="H34" s="27"/>
      <c r="I34" s="27"/>
      <c r="J34" s="27"/>
      <c r="K34" s="147"/>
      <c r="L34" s="147"/>
      <c r="O34" s="25">
        <f t="shared" si="2"/>
        <v>0</v>
      </c>
      <c r="Q34" s="27"/>
      <c r="R34" s="27"/>
      <c r="S34" s="27">
        <f t="shared" si="3"/>
        <v>0</v>
      </c>
      <c r="T34" s="27"/>
      <c r="U34" s="27"/>
      <c r="V34" s="27"/>
      <c r="W34" s="27"/>
    </row>
    <row r="35" spans="1:23">
      <c r="A35" s="27" t="s">
        <v>428</v>
      </c>
      <c r="E35" s="25">
        <f>+'Gov Fund OS'!L13</f>
        <v>0</v>
      </c>
      <c r="G35" s="147"/>
      <c r="H35" s="27"/>
      <c r="I35" s="27"/>
      <c r="J35" s="27"/>
      <c r="K35" s="147"/>
      <c r="L35" s="147"/>
      <c r="O35" s="25">
        <f t="shared" si="2"/>
        <v>0</v>
      </c>
      <c r="Q35" s="27"/>
      <c r="R35" s="27"/>
      <c r="S35" s="27">
        <f t="shared" si="3"/>
        <v>0</v>
      </c>
      <c r="T35" s="27"/>
      <c r="U35" s="27"/>
      <c r="V35" s="27"/>
      <c r="W35" s="27"/>
    </row>
    <row r="36" spans="1:23">
      <c r="A36" s="27" t="s">
        <v>65</v>
      </c>
      <c r="E36" s="25">
        <f>+'Gov Fund OS'!L14</f>
        <v>0</v>
      </c>
      <c r="G36" s="147"/>
      <c r="H36" s="27"/>
      <c r="I36" s="27"/>
      <c r="J36" s="27"/>
      <c r="K36" s="147"/>
      <c r="L36" s="147"/>
      <c r="O36" s="25">
        <f t="shared" si="2"/>
        <v>0</v>
      </c>
      <c r="Q36" s="27"/>
      <c r="R36" s="27"/>
      <c r="S36" s="27">
        <f t="shared" si="3"/>
        <v>0</v>
      </c>
      <c r="T36" s="27"/>
      <c r="U36" s="27"/>
      <c r="V36" s="27"/>
      <c r="W36" s="27"/>
    </row>
    <row r="37" spans="1:23">
      <c r="A37" s="27" t="s">
        <v>285</v>
      </c>
      <c r="E37" s="25">
        <f>+'Gov Fund OS'!L15</f>
        <v>0</v>
      </c>
      <c r="G37" s="147"/>
      <c r="H37" s="27"/>
      <c r="I37" s="27"/>
      <c r="J37" s="27"/>
      <c r="K37" s="147"/>
      <c r="L37" s="147"/>
      <c r="O37" s="25">
        <f t="shared" si="2"/>
        <v>0</v>
      </c>
      <c r="Q37" s="27"/>
      <c r="R37" s="27"/>
      <c r="S37" s="27">
        <f t="shared" si="3"/>
        <v>0</v>
      </c>
      <c r="T37" s="27"/>
      <c r="U37" s="27"/>
      <c r="V37" s="27"/>
      <c r="W37" s="27"/>
    </row>
    <row r="38" spans="1:23">
      <c r="A38" s="85" t="s">
        <v>504</v>
      </c>
      <c r="G38" s="147"/>
      <c r="H38" s="27"/>
      <c r="I38" s="27"/>
      <c r="J38" s="27"/>
      <c r="K38" s="147"/>
      <c r="L38" s="147"/>
      <c r="Q38" s="27"/>
      <c r="R38" s="27"/>
      <c r="S38" s="27"/>
      <c r="T38" s="27"/>
      <c r="U38" s="27"/>
      <c r="V38" s="27"/>
      <c r="W38" s="27"/>
    </row>
    <row r="39" spans="1:23">
      <c r="A39" s="27" t="s">
        <v>230</v>
      </c>
      <c r="C39" s="25">
        <f>+'Gov Fund OS'!L20</f>
        <v>0</v>
      </c>
      <c r="G39" s="147">
        <v>4</v>
      </c>
      <c r="H39" s="27">
        <f>+'CGA Note'!C29</f>
        <v>58000</v>
      </c>
      <c r="I39" s="27"/>
      <c r="J39" s="27"/>
      <c r="K39" s="147"/>
      <c r="L39" s="147"/>
      <c r="M39" s="27">
        <f>+C39+H39-J39</f>
        <v>58000</v>
      </c>
      <c r="N39" s="27"/>
      <c r="Q39" s="27">
        <f>+M39</f>
        <v>58000</v>
      </c>
      <c r="R39" s="27"/>
      <c r="S39" s="27"/>
      <c r="T39" s="27"/>
      <c r="U39" s="27"/>
      <c r="V39" s="27"/>
      <c r="W39" s="27"/>
    </row>
    <row r="40" spans="1:23">
      <c r="A40" s="27" t="s">
        <v>231</v>
      </c>
      <c r="C40" s="25">
        <f>+'Gov Fund OS'!L21</f>
        <v>0</v>
      </c>
      <c r="G40" s="147">
        <v>4</v>
      </c>
      <c r="H40" s="27">
        <f>+'CGA Note'!C30</f>
        <v>160000</v>
      </c>
      <c r="I40" s="27"/>
      <c r="J40" s="27"/>
      <c r="K40" s="147"/>
      <c r="L40" s="147"/>
      <c r="M40" s="27">
        <f>+C40+H40-J40</f>
        <v>160000</v>
      </c>
      <c r="N40" s="27"/>
      <c r="Q40" s="27">
        <f>+M40</f>
        <v>160000</v>
      </c>
      <c r="R40" s="27"/>
      <c r="S40" s="27"/>
      <c r="T40" s="27"/>
      <c r="U40" s="27"/>
      <c r="V40" s="27"/>
      <c r="W40" s="27"/>
    </row>
    <row r="41" spans="1:23">
      <c r="A41" s="27" t="s">
        <v>232</v>
      </c>
      <c r="C41" s="25">
        <f>+'Gov Fund OS'!L22</f>
        <v>0</v>
      </c>
      <c r="G41" s="147">
        <v>4</v>
      </c>
      <c r="H41" s="27">
        <f>+'CGA Note'!C31</f>
        <v>667000</v>
      </c>
      <c r="I41" s="27"/>
      <c r="J41" s="27"/>
      <c r="K41" s="147"/>
      <c r="L41" s="147"/>
      <c r="M41" s="27">
        <f>+C41+H41-J41</f>
        <v>667000</v>
      </c>
      <c r="N41" s="27"/>
      <c r="Q41" s="27">
        <f>+M41</f>
        <v>667000</v>
      </c>
      <c r="R41" s="27"/>
      <c r="S41" s="27"/>
      <c r="T41" s="27"/>
      <c r="U41" s="27"/>
      <c r="V41" s="27"/>
      <c r="W41" s="27"/>
    </row>
    <row r="42" spans="1:23">
      <c r="A42" s="27" t="s">
        <v>233</v>
      </c>
      <c r="C42" s="25">
        <f>+'Gov Fund OS'!L23</f>
        <v>0</v>
      </c>
      <c r="G42" s="147">
        <v>4</v>
      </c>
      <c r="H42" s="27">
        <f>+'CGA Note'!C32</f>
        <v>65000</v>
      </c>
      <c r="I42" s="27"/>
      <c r="J42" s="27"/>
      <c r="K42" s="147"/>
      <c r="L42" s="147"/>
      <c r="M42" s="25">
        <f>+C42+SUM(H42:H43)-SUM(J42:J43)</f>
        <v>85000</v>
      </c>
      <c r="Q42" s="27">
        <f>+M42</f>
        <v>85000</v>
      </c>
      <c r="R42" s="27"/>
      <c r="S42" s="27"/>
      <c r="T42" s="27"/>
      <c r="U42" s="27"/>
      <c r="V42" s="27"/>
      <c r="W42" s="27"/>
    </row>
    <row r="43" spans="1:23">
      <c r="A43" s="27"/>
      <c r="G43" s="147">
        <v>16</v>
      </c>
      <c r="H43" s="109">
        <f>+J87</f>
        <v>20000</v>
      </c>
      <c r="I43" s="27"/>
      <c r="J43" s="27"/>
      <c r="K43" s="147"/>
      <c r="L43" s="147"/>
      <c r="Q43" s="27"/>
      <c r="R43" s="27"/>
      <c r="S43" s="27"/>
      <c r="T43" s="27"/>
      <c r="U43" s="27"/>
      <c r="V43" s="27"/>
      <c r="W43" s="27"/>
    </row>
    <row r="44" spans="1:23">
      <c r="A44" s="27" t="s">
        <v>234</v>
      </c>
      <c r="C44" s="25">
        <f>+'Gov Fund OS'!L24</f>
        <v>0</v>
      </c>
      <c r="G44" s="147">
        <v>4</v>
      </c>
      <c r="H44" s="27">
        <f>+'CGA Note'!C33</f>
        <v>37000</v>
      </c>
      <c r="I44" s="27"/>
      <c r="J44" s="27"/>
      <c r="K44" s="147"/>
      <c r="L44" s="147"/>
      <c r="M44" s="25">
        <f>+C44+SUM(H44:H45)-SUM(J44:J45)</f>
        <v>37000</v>
      </c>
      <c r="Q44" s="27">
        <f>+M44</f>
        <v>37000</v>
      </c>
      <c r="R44" s="27"/>
      <c r="S44" s="27"/>
      <c r="T44" s="27"/>
      <c r="U44" s="27"/>
      <c r="V44" s="27"/>
      <c r="W44" s="27"/>
    </row>
    <row r="45" spans="1:23">
      <c r="A45" s="27"/>
      <c r="G45" s="147">
        <v>15</v>
      </c>
      <c r="H45" s="27">
        <f>+J86</f>
        <v>0</v>
      </c>
      <c r="I45" s="27"/>
      <c r="J45" s="27"/>
      <c r="K45" s="147"/>
      <c r="L45" s="147"/>
      <c r="Q45" s="27"/>
      <c r="R45" s="27"/>
      <c r="S45" s="27"/>
      <c r="T45" s="27"/>
      <c r="U45" s="27"/>
      <c r="V45" s="27"/>
      <c r="W45" s="27"/>
    </row>
    <row r="46" spans="1:23">
      <c r="A46" s="27" t="s">
        <v>472</v>
      </c>
      <c r="C46" s="25">
        <f>+'Gov Fund OS'!L25</f>
        <v>0</v>
      </c>
      <c r="G46" s="147">
        <v>4</v>
      </c>
      <c r="H46" s="27">
        <f>+'CGA Note'!C34</f>
        <v>0</v>
      </c>
      <c r="I46" s="27"/>
      <c r="J46" s="27"/>
      <c r="K46" s="147"/>
      <c r="L46" s="147"/>
      <c r="M46" s="27">
        <f>+C46+H46-J46</f>
        <v>0</v>
      </c>
      <c r="N46" s="27"/>
      <c r="Q46" s="27">
        <f>+M46</f>
        <v>0</v>
      </c>
      <c r="R46" s="27"/>
      <c r="S46" s="27"/>
      <c r="T46" s="27"/>
      <c r="U46" s="27"/>
      <c r="V46" s="27"/>
      <c r="W46" s="27"/>
    </row>
    <row r="47" spans="1:23">
      <c r="A47" s="27" t="s">
        <v>473</v>
      </c>
      <c r="C47" s="25">
        <f>+'Gov Fund OS'!L26</f>
        <v>0</v>
      </c>
      <c r="G47" s="147"/>
      <c r="H47" s="27"/>
      <c r="I47" s="27"/>
      <c r="J47" s="27"/>
      <c r="K47" s="147"/>
      <c r="L47" s="147"/>
      <c r="M47" s="27">
        <f>+C47+H47-J47</f>
        <v>0</v>
      </c>
      <c r="N47" s="27"/>
      <c r="Q47" s="27">
        <f>+M47</f>
        <v>0</v>
      </c>
      <c r="R47" s="27"/>
      <c r="S47" s="27"/>
      <c r="T47" s="27"/>
      <c r="U47" s="27"/>
      <c r="V47" s="27"/>
      <c r="W47" s="27"/>
    </row>
    <row r="48" spans="1:23">
      <c r="A48" s="85" t="s">
        <v>505</v>
      </c>
      <c r="C48" s="71">
        <f>+'Gov Fund OS'!L27</f>
        <v>0</v>
      </c>
      <c r="D48" s="71"/>
      <c r="E48" s="71"/>
      <c r="F48" s="71"/>
      <c r="G48" s="19"/>
      <c r="H48" s="109"/>
      <c r="I48" s="109"/>
      <c r="J48" s="109">
        <f>+C48</f>
        <v>0</v>
      </c>
      <c r="K48" s="147">
        <v>1</v>
      </c>
      <c r="L48" s="147"/>
      <c r="M48" s="27">
        <f>+C48+H48-J48</f>
        <v>0</v>
      </c>
      <c r="N48" s="27"/>
      <c r="Q48" s="27"/>
      <c r="R48" s="27"/>
      <c r="S48" s="27"/>
      <c r="T48" s="27"/>
      <c r="U48" s="27"/>
      <c r="V48" s="27"/>
      <c r="W48" s="27"/>
    </row>
    <row r="49" spans="1:23">
      <c r="A49" s="85" t="s">
        <v>506</v>
      </c>
      <c r="G49" s="147"/>
      <c r="H49" s="27"/>
      <c r="I49" s="27"/>
      <c r="J49" s="27"/>
      <c r="K49" s="147"/>
      <c r="L49" s="147"/>
      <c r="Q49" s="27"/>
      <c r="R49" s="27"/>
      <c r="S49" s="27"/>
      <c r="T49" s="27"/>
      <c r="U49" s="27"/>
      <c r="V49" s="27"/>
      <c r="W49" s="27"/>
    </row>
    <row r="50" spans="1:23">
      <c r="A50" s="27" t="s">
        <v>507</v>
      </c>
      <c r="C50" s="25">
        <f>+'Gov Fund OS'!L29</f>
        <v>0</v>
      </c>
      <c r="G50" s="147"/>
      <c r="H50" s="27"/>
      <c r="I50" s="27"/>
      <c r="J50" s="27">
        <f>+C50</f>
        <v>0</v>
      </c>
      <c r="K50" s="147">
        <v>8</v>
      </c>
      <c r="L50" s="147"/>
      <c r="M50" s="27">
        <f>+C50+H50-J50</f>
        <v>0</v>
      </c>
      <c r="N50" s="27"/>
      <c r="Q50" s="27"/>
      <c r="R50" s="27"/>
      <c r="S50" s="27"/>
      <c r="T50" s="27"/>
      <c r="U50" s="27"/>
      <c r="V50" s="27"/>
      <c r="W50" s="27"/>
    </row>
    <row r="51" spans="1:23">
      <c r="A51" s="27" t="s">
        <v>166</v>
      </c>
      <c r="C51" s="25">
        <f>+'Gov Fund OS'!L30</f>
        <v>0</v>
      </c>
      <c r="G51" s="147">
        <v>13</v>
      </c>
      <c r="H51" s="27">
        <f>+J95</f>
        <v>0</v>
      </c>
      <c r="I51" s="27"/>
      <c r="J51" s="109">
        <f>+H83</f>
        <v>3330</v>
      </c>
      <c r="K51" s="147">
        <v>9</v>
      </c>
      <c r="L51" s="147"/>
      <c r="M51" s="25">
        <f>+C51+SUM(H51:H53)-SUM(J51:J53)</f>
        <v>576670</v>
      </c>
      <c r="Q51" s="27">
        <f>+M51</f>
        <v>576670</v>
      </c>
      <c r="R51" s="27"/>
      <c r="S51" s="27"/>
      <c r="T51" s="27"/>
      <c r="U51" s="27"/>
      <c r="V51" s="27"/>
      <c r="W51" s="27"/>
    </row>
    <row r="52" spans="1:23">
      <c r="A52" s="27"/>
      <c r="G52" s="147">
        <v>14</v>
      </c>
      <c r="H52" s="27">
        <f>+J55</f>
        <v>0</v>
      </c>
      <c r="I52" s="27"/>
      <c r="J52" s="27">
        <f>+H85</f>
        <v>0</v>
      </c>
      <c r="K52" s="147">
        <v>12</v>
      </c>
      <c r="L52" s="147"/>
      <c r="Q52" s="27"/>
      <c r="R52" s="27"/>
      <c r="S52" s="27"/>
      <c r="T52" s="27"/>
      <c r="U52" s="27"/>
      <c r="V52" s="27"/>
      <c r="W52" s="27"/>
    </row>
    <row r="53" spans="1:23">
      <c r="A53" s="27"/>
      <c r="G53" s="147">
        <v>12</v>
      </c>
      <c r="H53" s="109">
        <f>+J96-H88</f>
        <v>580000</v>
      </c>
      <c r="I53" s="27"/>
      <c r="J53" s="27"/>
      <c r="K53" s="147"/>
      <c r="L53" s="147"/>
      <c r="Q53" s="27"/>
      <c r="R53" s="27"/>
      <c r="S53" s="27"/>
      <c r="T53" s="27"/>
      <c r="U53" s="27"/>
      <c r="V53" s="27"/>
      <c r="W53" s="27"/>
    </row>
    <row r="54" spans="1:23">
      <c r="A54" s="27" t="s">
        <v>508</v>
      </c>
      <c r="C54" s="25">
        <f>+'Gov Fund OS'!L32</f>
        <v>0</v>
      </c>
      <c r="G54" s="147"/>
      <c r="H54" s="27"/>
      <c r="I54" s="27"/>
      <c r="J54" s="27">
        <f>+C54</f>
        <v>0</v>
      </c>
      <c r="K54" s="147">
        <v>10</v>
      </c>
      <c r="L54" s="147"/>
      <c r="M54" s="27">
        <f>+C54+H54-J54</f>
        <v>0</v>
      </c>
      <c r="N54" s="27"/>
      <c r="Q54" s="27"/>
      <c r="R54" s="27"/>
      <c r="S54" s="27"/>
      <c r="T54" s="27"/>
      <c r="U54" s="27"/>
      <c r="V54" s="27"/>
      <c r="W54" s="27"/>
    </row>
    <row r="55" spans="1:23">
      <c r="A55" s="27" t="s">
        <v>431</v>
      </c>
      <c r="C55" s="25">
        <f>+'Gov Fund OS'!L31</f>
        <v>0</v>
      </c>
      <c r="G55" s="147"/>
      <c r="H55" s="27"/>
      <c r="I55" s="27"/>
      <c r="J55" s="27">
        <f>+C55</f>
        <v>0</v>
      </c>
      <c r="K55" s="147">
        <v>14</v>
      </c>
      <c r="L55" s="147"/>
      <c r="M55" s="27">
        <f>+C55+H55-J55</f>
        <v>0</v>
      </c>
      <c r="N55" s="27"/>
      <c r="Q55" s="27"/>
      <c r="R55" s="27"/>
      <c r="S55" s="27"/>
      <c r="T55" s="27"/>
      <c r="U55" s="27"/>
      <c r="V55" s="27"/>
      <c r="W55" s="27"/>
    </row>
    <row r="56" spans="1:23">
      <c r="A56" s="85" t="s">
        <v>509</v>
      </c>
      <c r="G56" s="147"/>
      <c r="H56" s="27"/>
      <c r="I56" s="27"/>
      <c r="J56" s="27"/>
      <c r="K56" s="147"/>
      <c r="L56" s="147"/>
      <c r="Q56" s="27"/>
      <c r="R56" s="27"/>
      <c r="S56" s="27"/>
      <c r="T56" s="27"/>
      <c r="U56" s="27"/>
      <c r="V56" s="27"/>
      <c r="W56" s="27"/>
    </row>
    <row r="57" spans="1:23">
      <c r="A57" s="27" t="s">
        <v>510</v>
      </c>
      <c r="E57" s="25">
        <f>+'Gov Fund OS'!L40</f>
        <v>0</v>
      </c>
      <c r="G57" s="147">
        <v>5</v>
      </c>
      <c r="H57" s="27">
        <f t="shared" ref="H57:H62" si="4">+E57</f>
        <v>0</v>
      </c>
      <c r="I57" s="27"/>
      <c r="J57" s="27"/>
      <c r="K57" s="147"/>
      <c r="L57" s="147"/>
      <c r="O57" s="25">
        <f t="shared" ref="O57:O63" si="5">+E57+J57-H57</f>
        <v>0</v>
      </c>
      <c r="Q57" s="27"/>
      <c r="R57" s="27"/>
      <c r="S57" s="27"/>
      <c r="T57" s="27"/>
      <c r="U57" s="27"/>
      <c r="V57" s="27"/>
      <c r="W57" s="27"/>
    </row>
    <row r="58" spans="1:23">
      <c r="A58" s="27" t="s">
        <v>147</v>
      </c>
      <c r="E58" s="25">
        <f>+'Gov Fund OS'!L41</f>
        <v>0</v>
      </c>
      <c r="G58" s="147">
        <v>5</v>
      </c>
      <c r="H58" s="27">
        <f t="shared" si="4"/>
        <v>0</v>
      </c>
      <c r="I58" s="27"/>
      <c r="J58" s="27"/>
      <c r="K58" s="147"/>
      <c r="L58" s="147"/>
      <c r="O58" s="25">
        <f t="shared" si="5"/>
        <v>0</v>
      </c>
      <c r="Q58" s="27"/>
      <c r="R58" s="27"/>
      <c r="S58" s="27"/>
      <c r="T58" s="27"/>
      <c r="U58" s="27"/>
      <c r="V58" s="27"/>
      <c r="W58" s="27"/>
    </row>
    <row r="59" spans="1:23">
      <c r="A59" s="27" t="s">
        <v>474</v>
      </c>
      <c r="E59" s="25">
        <f>+'Gov Fund OS'!L42</f>
        <v>0</v>
      </c>
      <c r="G59" s="147">
        <v>6</v>
      </c>
      <c r="H59" s="27">
        <f t="shared" si="4"/>
        <v>0</v>
      </c>
      <c r="I59" s="27"/>
      <c r="J59" s="27"/>
      <c r="K59" s="147"/>
      <c r="L59" s="147"/>
      <c r="O59" s="25">
        <f t="shared" si="5"/>
        <v>0</v>
      </c>
      <c r="Q59" s="27"/>
      <c r="R59" s="27"/>
      <c r="S59" s="27"/>
      <c r="T59" s="27"/>
      <c r="U59" s="27"/>
      <c r="V59" s="27"/>
      <c r="W59" s="27"/>
    </row>
    <row r="60" spans="1:23">
      <c r="A60" s="27" t="s">
        <v>511</v>
      </c>
      <c r="E60" s="25">
        <f>+'Gov Fund OS'!L39</f>
        <v>0</v>
      </c>
      <c r="G60" s="147">
        <v>3</v>
      </c>
      <c r="H60" s="109">
        <f t="shared" si="4"/>
        <v>0</v>
      </c>
      <c r="I60" s="27"/>
      <c r="J60" s="27"/>
      <c r="K60" s="147"/>
      <c r="L60" s="147"/>
      <c r="O60" s="25">
        <f t="shared" si="5"/>
        <v>0</v>
      </c>
      <c r="Q60" s="27"/>
      <c r="R60" s="27"/>
      <c r="S60" s="27"/>
      <c r="T60" s="27"/>
      <c r="U60" s="27"/>
      <c r="V60" s="27"/>
      <c r="W60" s="27"/>
    </row>
    <row r="61" spans="1:23">
      <c r="A61" s="27" t="s">
        <v>512</v>
      </c>
      <c r="E61" s="25">
        <f>+'Gov Fund OS'!L43</f>
        <v>0</v>
      </c>
      <c r="G61" s="147">
        <v>7</v>
      </c>
      <c r="H61" s="27">
        <f t="shared" si="4"/>
        <v>0</v>
      </c>
      <c r="I61" s="27"/>
      <c r="J61" s="27"/>
      <c r="K61" s="147"/>
      <c r="L61" s="147"/>
      <c r="O61" s="25">
        <f t="shared" si="5"/>
        <v>0</v>
      </c>
      <c r="Q61" s="27"/>
      <c r="R61" s="27"/>
      <c r="S61" s="27"/>
      <c r="T61" s="27"/>
      <c r="U61" s="27"/>
      <c r="V61" s="27"/>
      <c r="W61" s="27"/>
    </row>
    <row r="62" spans="1:23">
      <c r="A62" s="27" t="s">
        <v>513</v>
      </c>
      <c r="E62" s="25">
        <f>+'Gov Fund OS'!L37</f>
        <v>0</v>
      </c>
      <c r="G62" s="147">
        <v>20</v>
      </c>
      <c r="H62" s="27">
        <f t="shared" si="4"/>
        <v>0</v>
      </c>
      <c r="I62" s="27"/>
      <c r="J62" s="27"/>
      <c r="K62" s="147"/>
      <c r="L62" s="147"/>
      <c r="O62" s="25">
        <f t="shared" si="5"/>
        <v>0</v>
      </c>
      <c r="Q62" s="27"/>
      <c r="R62" s="27"/>
      <c r="S62" s="27"/>
      <c r="T62" s="27"/>
      <c r="U62" s="27"/>
      <c r="V62" s="27"/>
      <c r="W62" s="27"/>
    </row>
    <row r="63" spans="1:23">
      <c r="A63" s="27" t="s">
        <v>514</v>
      </c>
      <c r="E63" s="25">
        <f>+'Gov Fund OS'!L38</f>
        <v>0</v>
      </c>
      <c r="G63" s="147"/>
      <c r="H63" s="27"/>
      <c r="I63" s="27"/>
      <c r="J63" s="27"/>
      <c r="K63" s="147"/>
      <c r="L63" s="147"/>
      <c r="O63" s="25">
        <f t="shared" si="5"/>
        <v>0</v>
      </c>
      <c r="Q63" s="27"/>
      <c r="R63" s="27"/>
      <c r="S63" s="27">
        <f t="shared" ref="S63" si="6">+O63</f>
        <v>0</v>
      </c>
      <c r="T63" s="27"/>
      <c r="U63" s="27"/>
      <c r="V63" s="27"/>
      <c r="W63" s="27"/>
    </row>
    <row r="64" spans="1:23">
      <c r="A64" s="85" t="s">
        <v>515</v>
      </c>
      <c r="G64" s="147"/>
      <c r="H64" s="27"/>
      <c r="I64" s="27"/>
      <c r="J64" s="27"/>
      <c r="K64" s="147"/>
      <c r="L64" s="147"/>
      <c r="Q64" s="27"/>
      <c r="R64" s="27"/>
      <c r="S64" s="27"/>
      <c r="T64" s="27"/>
      <c r="U64" s="27"/>
      <c r="V64" s="27"/>
      <c r="W64" s="27"/>
    </row>
    <row r="65" spans="1:23">
      <c r="A65" s="27" t="s">
        <v>516</v>
      </c>
      <c r="C65" s="25">
        <f>-'Gov Fund OS'!L45</f>
        <v>0</v>
      </c>
      <c r="G65" s="147"/>
      <c r="H65" s="27"/>
      <c r="I65" s="27"/>
      <c r="J65" s="27">
        <f>+C65</f>
        <v>0</v>
      </c>
      <c r="K65" s="147">
        <v>20</v>
      </c>
      <c r="L65" s="147"/>
      <c r="M65" s="27">
        <f>+C65+H65-J65</f>
        <v>0</v>
      </c>
      <c r="N65" s="27"/>
      <c r="Q65" s="27"/>
      <c r="R65" s="27"/>
      <c r="S65" s="27"/>
      <c r="T65" s="27"/>
      <c r="U65" s="27"/>
      <c r="V65" s="27"/>
      <c r="W65" s="27"/>
    </row>
    <row r="66" spans="1:23">
      <c r="A66" s="27" t="s">
        <v>83</v>
      </c>
      <c r="C66" s="25">
        <f>-'Gov Fund OS'!L46</f>
        <v>0</v>
      </c>
      <c r="G66" s="147"/>
      <c r="H66" s="27"/>
      <c r="I66" s="27"/>
      <c r="J66" s="27">
        <f>+C66</f>
        <v>0</v>
      </c>
      <c r="K66" s="147">
        <v>20</v>
      </c>
      <c r="L66" s="147"/>
      <c r="M66" s="27">
        <f>+C66+H66-J66</f>
        <v>0</v>
      </c>
      <c r="N66" s="27"/>
      <c r="Q66" s="27"/>
      <c r="R66" s="27"/>
      <c r="S66" s="27"/>
      <c r="T66" s="27"/>
      <c r="U66" s="27"/>
      <c r="V66" s="27"/>
      <c r="W66" s="27"/>
    </row>
    <row r="67" spans="1:23">
      <c r="A67" s="27" t="s">
        <v>517</v>
      </c>
      <c r="C67" s="25">
        <f>-'Gov Fund OS'!L47</f>
        <v>0</v>
      </c>
      <c r="G67" s="147"/>
      <c r="H67" s="109"/>
      <c r="I67" s="109"/>
      <c r="J67" s="109">
        <f>+C67</f>
        <v>0</v>
      </c>
      <c r="K67" s="147">
        <v>20</v>
      </c>
      <c r="L67" s="147"/>
      <c r="M67" s="27">
        <f>+C67+H67-J67</f>
        <v>0</v>
      </c>
      <c r="N67" s="27"/>
      <c r="Q67" s="27"/>
      <c r="R67" s="27"/>
      <c r="S67" s="27"/>
      <c r="T67" s="27"/>
      <c r="U67" s="27"/>
      <c r="V67" s="27"/>
      <c r="W67" s="27"/>
    </row>
    <row r="68" spans="1:23">
      <c r="A68" s="27" t="s">
        <v>508</v>
      </c>
      <c r="C68" s="25">
        <f>-'Gov Fund OS'!L44</f>
        <v>0</v>
      </c>
      <c r="E68" s="27"/>
      <c r="F68" s="27"/>
      <c r="G68" s="147"/>
      <c r="H68" s="109"/>
      <c r="I68" s="109"/>
      <c r="J68" s="109">
        <f>+C68</f>
        <v>0</v>
      </c>
      <c r="K68" s="147">
        <v>10</v>
      </c>
      <c r="L68" s="147"/>
      <c r="M68" s="27">
        <f>+C68+H68-J68</f>
        <v>0</v>
      </c>
      <c r="N68" s="27"/>
      <c r="Q68" s="27"/>
      <c r="R68" s="27"/>
      <c r="S68" s="27"/>
      <c r="T68" s="27"/>
      <c r="U68" s="27"/>
      <c r="V68" s="27"/>
      <c r="W68" s="27"/>
    </row>
    <row r="69" spans="1:23">
      <c r="A69" s="27" t="s">
        <v>518</v>
      </c>
      <c r="C69" s="37">
        <f>SUM(C9:C68)</f>
        <v>0</v>
      </c>
      <c r="E69" s="37">
        <f>SUM(E9:E68)</f>
        <v>0</v>
      </c>
      <c r="G69" s="147"/>
      <c r="H69" s="109"/>
      <c r="I69" s="109"/>
      <c r="J69" s="109"/>
      <c r="K69" s="147"/>
      <c r="L69" s="147"/>
      <c r="Q69" s="27"/>
      <c r="R69" s="27"/>
      <c r="S69" s="27"/>
      <c r="T69" s="27"/>
      <c r="U69" s="27"/>
      <c r="V69" s="27"/>
      <c r="W69" s="27"/>
    </row>
    <row r="70" spans="1:23">
      <c r="A70" s="85"/>
      <c r="G70" s="147"/>
      <c r="H70" s="109"/>
      <c r="I70" s="109"/>
      <c r="J70" s="109"/>
      <c r="K70" s="147"/>
      <c r="L70" s="147"/>
      <c r="Q70" s="27"/>
      <c r="R70" s="27"/>
      <c r="S70" s="27"/>
      <c r="T70" s="27"/>
      <c r="U70" s="27"/>
      <c r="V70" s="27"/>
      <c r="W70" s="27"/>
    </row>
    <row r="71" spans="1:23">
      <c r="A71" s="27" t="s">
        <v>174</v>
      </c>
      <c r="C71" s="27">
        <f>+'GCA-GLTL'!C9</f>
        <v>800000</v>
      </c>
      <c r="D71" s="27"/>
      <c r="E71" s="27"/>
      <c r="F71" s="27"/>
      <c r="G71" s="147">
        <v>1</v>
      </c>
      <c r="H71" s="109">
        <f>+'GCA-GLTL'!H9</f>
        <v>110000</v>
      </c>
      <c r="I71" s="109"/>
      <c r="J71" s="109"/>
      <c r="K71" s="147"/>
      <c r="L71" s="147"/>
      <c r="M71" s="108">
        <f>+C71+H71-J71</f>
        <v>910000</v>
      </c>
      <c r="N71" s="27"/>
      <c r="Q71" s="27"/>
      <c r="R71" s="27"/>
      <c r="S71" s="27"/>
      <c r="T71" s="27"/>
      <c r="U71" s="27">
        <f>+M71</f>
        <v>910000</v>
      </c>
      <c r="V71" s="27"/>
      <c r="W71" s="27"/>
    </row>
    <row r="72" spans="1:23">
      <c r="A72" s="27" t="s">
        <v>175</v>
      </c>
      <c r="C72" s="27">
        <f>+'GCA-GLTL'!C12</f>
        <v>5300000</v>
      </c>
      <c r="D72" s="27"/>
      <c r="E72" s="27"/>
      <c r="F72" s="27"/>
      <c r="G72" s="147"/>
      <c r="H72" s="109"/>
      <c r="I72" s="109"/>
      <c r="J72" s="109"/>
      <c r="K72" s="147"/>
      <c r="L72" s="147"/>
      <c r="M72" s="108">
        <f>+C72+H72-J72</f>
        <v>5300000</v>
      </c>
      <c r="N72" s="108"/>
      <c r="O72" s="118"/>
      <c r="Q72" s="27"/>
      <c r="R72" s="27"/>
      <c r="S72" s="27"/>
      <c r="T72" s="27"/>
      <c r="U72" s="27">
        <f>+M72</f>
        <v>5300000</v>
      </c>
      <c r="V72" s="27"/>
      <c r="W72" s="27"/>
    </row>
    <row r="73" spans="1:23">
      <c r="A73" s="27" t="s">
        <v>519</v>
      </c>
      <c r="C73" s="27"/>
      <c r="D73" s="27"/>
      <c r="E73" s="27">
        <f>+'GCA-GLTL'!E14</f>
        <v>2200000</v>
      </c>
      <c r="F73" s="27"/>
      <c r="G73" s="147"/>
      <c r="H73" s="109"/>
      <c r="I73" s="109"/>
      <c r="J73" s="109">
        <f>+'GCA-GLTL'!J14</f>
        <v>245000</v>
      </c>
      <c r="K73" s="147">
        <v>4</v>
      </c>
      <c r="L73" s="147"/>
      <c r="M73" s="118"/>
      <c r="N73" s="118"/>
      <c r="O73" s="118">
        <f>+E73+J73-H73</f>
        <v>2445000</v>
      </c>
      <c r="Q73" s="27"/>
      <c r="R73" s="27"/>
      <c r="S73" s="27"/>
      <c r="T73" s="27"/>
      <c r="U73" s="27"/>
      <c r="V73" s="27"/>
      <c r="W73" s="27">
        <f>+O73</f>
        <v>2445000</v>
      </c>
    </row>
    <row r="74" spans="1:23">
      <c r="A74" s="27" t="s">
        <v>199</v>
      </c>
      <c r="C74" s="27">
        <f>+'GCA-GLTL'!C16</f>
        <v>1750000</v>
      </c>
      <c r="D74" s="27"/>
      <c r="E74" s="27"/>
      <c r="F74" s="27"/>
      <c r="G74" s="147">
        <v>18</v>
      </c>
      <c r="H74" s="109">
        <f>+'CCN SNP'!D15</f>
        <v>0</v>
      </c>
      <c r="I74" s="109"/>
      <c r="J74" s="109">
        <f>+'GCA-GLTL'!J16</f>
        <v>300000</v>
      </c>
      <c r="K74" s="147">
        <v>3</v>
      </c>
      <c r="L74" s="147"/>
      <c r="M74" s="118">
        <f>+C74+SUM(H74:H75)-SUM(J74:J75)</f>
        <v>1450000</v>
      </c>
      <c r="N74" s="118"/>
      <c r="O74" s="118"/>
      <c r="Q74" s="27"/>
      <c r="R74" s="27"/>
      <c r="S74" s="27"/>
      <c r="T74" s="27"/>
      <c r="U74" s="27">
        <f>+M74</f>
        <v>1450000</v>
      </c>
      <c r="V74" s="27"/>
      <c r="W74" s="27"/>
    </row>
    <row r="75" spans="1:23">
      <c r="A75" s="27"/>
      <c r="C75" s="27"/>
      <c r="D75" s="27"/>
      <c r="E75" s="27"/>
      <c r="F75" s="27"/>
      <c r="G75" s="147"/>
      <c r="H75" s="109"/>
      <c r="I75" s="109"/>
      <c r="J75" s="109"/>
      <c r="K75" s="147"/>
      <c r="L75" s="147"/>
      <c r="M75" s="118"/>
      <c r="N75" s="118"/>
      <c r="O75" s="118"/>
      <c r="Q75" s="27"/>
      <c r="R75" s="27"/>
      <c r="S75" s="27"/>
      <c r="T75" s="27"/>
      <c r="U75" s="27"/>
      <c r="V75" s="27"/>
      <c r="W75" s="27"/>
    </row>
    <row r="76" spans="1:23">
      <c r="A76" s="27" t="s">
        <v>520</v>
      </c>
      <c r="C76" s="27"/>
      <c r="D76" s="27"/>
      <c r="E76" s="27">
        <f>+'GCA-GLTL'!E19</f>
        <v>550000</v>
      </c>
      <c r="F76" s="27"/>
      <c r="G76" s="147">
        <v>3</v>
      </c>
      <c r="H76" s="109">
        <f>+'GCA-GLTL'!H19</f>
        <v>187000</v>
      </c>
      <c r="I76" s="109"/>
      <c r="J76" s="109">
        <f>+'GCA-GLTL'!J19</f>
        <v>222000</v>
      </c>
      <c r="K76" s="147">
        <v>4</v>
      </c>
      <c r="L76" s="147"/>
      <c r="M76" s="118"/>
      <c r="N76" s="118"/>
      <c r="O76" s="118">
        <f>+E76+SUM(J76:J77)-SUM(H76:H77)</f>
        <v>585000</v>
      </c>
      <c r="Q76" s="27"/>
      <c r="R76" s="27"/>
      <c r="S76" s="27"/>
      <c r="T76" s="27"/>
      <c r="U76" s="27"/>
      <c r="V76" s="27"/>
      <c r="W76" s="27">
        <f>+O76</f>
        <v>585000</v>
      </c>
    </row>
    <row r="77" spans="1:23">
      <c r="A77" s="27"/>
      <c r="C77" s="27"/>
      <c r="D77" s="27"/>
      <c r="E77" s="27"/>
      <c r="F77" s="27"/>
      <c r="H77" s="109"/>
      <c r="I77" s="109"/>
      <c r="J77" s="109">
        <f>-'CCN SNP'!D16</f>
        <v>0</v>
      </c>
      <c r="K77" s="147">
        <v>18</v>
      </c>
      <c r="L77" s="147"/>
      <c r="Q77" s="27"/>
      <c r="R77" s="27"/>
      <c r="S77" s="27"/>
      <c r="T77" s="27"/>
      <c r="U77" s="27"/>
      <c r="V77" s="27"/>
      <c r="W77" s="27"/>
    </row>
    <row r="78" spans="1:23">
      <c r="A78" s="27" t="s">
        <v>521</v>
      </c>
      <c r="C78" s="27">
        <f>+'GCA-GLTL'!C21</f>
        <v>13000000</v>
      </c>
      <c r="D78" s="27"/>
      <c r="E78" s="27"/>
      <c r="F78" s="27"/>
      <c r="G78" s="147">
        <v>2</v>
      </c>
      <c r="H78" s="109">
        <f>+'GCA-GLTL'!H21</f>
        <v>0</v>
      </c>
      <c r="I78" s="109"/>
      <c r="J78" s="109"/>
      <c r="K78" s="147"/>
      <c r="L78" s="147"/>
      <c r="M78" s="108">
        <f>+C78+H78-J78</f>
        <v>13000000</v>
      </c>
      <c r="N78" s="108"/>
      <c r="O78" s="118"/>
      <c r="Q78" s="27"/>
      <c r="R78" s="27"/>
      <c r="S78" s="27"/>
      <c r="T78" s="27"/>
      <c r="U78" s="27">
        <f>+M78</f>
        <v>13000000</v>
      </c>
      <c r="V78" s="27"/>
      <c r="W78" s="27"/>
    </row>
    <row r="79" spans="1:23">
      <c r="A79" s="27" t="s">
        <v>522</v>
      </c>
      <c r="C79" s="27"/>
      <c r="D79" s="27"/>
      <c r="E79" s="27">
        <f>+'GCA-GLTL'!E23</f>
        <v>6000000</v>
      </c>
      <c r="F79" s="27"/>
      <c r="G79" s="147"/>
      <c r="H79" s="109"/>
      <c r="I79" s="109"/>
      <c r="J79" s="109">
        <f>+'GCA-GLTL'!J23</f>
        <v>520000</v>
      </c>
      <c r="K79" s="147">
        <v>4</v>
      </c>
      <c r="L79" s="147"/>
      <c r="M79" s="118"/>
      <c r="N79" s="118"/>
      <c r="O79" s="118">
        <f>+E79+J79-H79</f>
        <v>6520000</v>
      </c>
      <c r="Q79" s="27"/>
      <c r="R79" s="27"/>
      <c r="S79" s="27"/>
      <c r="T79" s="27"/>
      <c r="U79" s="27"/>
      <c r="V79" s="27"/>
      <c r="W79" s="27">
        <f>+O79</f>
        <v>6520000</v>
      </c>
    </row>
    <row r="80" spans="1:23">
      <c r="A80" s="27" t="s">
        <v>181</v>
      </c>
      <c r="C80" s="27">
        <f>+'GCA-GLTL'!C25</f>
        <v>1700000</v>
      </c>
      <c r="D80" s="27"/>
      <c r="E80" s="27"/>
      <c r="F80" s="27"/>
      <c r="G80" s="147">
        <v>1</v>
      </c>
      <c r="H80" s="109">
        <f>+'GCA-GLTL'!H25+'GCA-GLTL'!H26</f>
        <v>1200000</v>
      </c>
      <c r="I80" s="109"/>
      <c r="J80" s="109"/>
      <c r="K80" s="147">
        <v>2</v>
      </c>
      <c r="L80" s="147"/>
      <c r="M80" s="108">
        <f>+C80+H80-J80</f>
        <v>2900000</v>
      </c>
      <c r="N80" s="27"/>
      <c r="Q80" s="27"/>
      <c r="R80" s="27"/>
      <c r="S80" s="27"/>
      <c r="T80" s="27"/>
      <c r="U80" s="27">
        <f>+M80</f>
        <v>2900000</v>
      </c>
      <c r="V80" s="27"/>
      <c r="W80" s="27"/>
    </row>
    <row r="81" spans="1:23">
      <c r="A81" s="27" t="s">
        <v>182</v>
      </c>
      <c r="C81" s="27"/>
      <c r="D81" s="27"/>
      <c r="E81" s="27">
        <f>+'GCA-GLTL'!E28</f>
        <v>9000000</v>
      </c>
      <c r="F81" s="27"/>
      <c r="G81" s="147">
        <v>8</v>
      </c>
      <c r="H81" s="109">
        <f>+'GCA-GLTL'!H28</f>
        <v>500000</v>
      </c>
      <c r="I81" s="109"/>
      <c r="J81" s="109">
        <f>+'GCA-GLTL'!J28</f>
        <v>1500000</v>
      </c>
      <c r="K81" s="147">
        <v>5</v>
      </c>
      <c r="L81" s="147"/>
      <c r="O81" s="118">
        <f>+E81+SUM(J81:J82)-SUM(H81:H82)</f>
        <v>10000000</v>
      </c>
      <c r="Q81" s="27"/>
      <c r="R81" s="27"/>
      <c r="S81" s="27"/>
      <c r="T81" s="27"/>
      <c r="U81" s="27"/>
      <c r="V81" s="27"/>
      <c r="W81" s="27">
        <f>+O81</f>
        <v>10000000</v>
      </c>
    </row>
    <row r="82" spans="1:23">
      <c r="A82" s="27"/>
      <c r="C82" s="27"/>
      <c r="D82" s="27"/>
      <c r="E82" s="27"/>
      <c r="F82" s="27"/>
      <c r="G82" s="147">
        <v>10</v>
      </c>
      <c r="H82" s="109"/>
      <c r="I82" s="109"/>
      <c r="J82" s="109">
        <f>+'GCA-GLTL'!J43</f>
        <v>0</v>
      </c>
      <c r="K82" s="147">
        <v>6</v>
      </c>
      <c r="L82" s="147"/>
      <c r="Q82" s="27"/>
      <c r="R82" s="27"/>
      <c r="S82" s="27"/>
      <c r="T82" s="27"/>
      <c r="U82" s="27"/>
      <c r="V82" s="27"/>
      <c r="W82" s="27"/>
    </row>
    <row r="83" spans="1:23">
      <c r="A83" s="27" t="s">
        <v>183</v>
      </c>
      <c r="C83" s="27"/>
      <c r="D83" s="27"/>
      <c r="E83" s="27">
        <f>+'GCA-GLTL'!E31</f>
        <v>180000</v>
      </c>
      <c r="F83" s="27"/>
      <c r="G83" s="147">
        <v>9</v>
      </c>
      <c r="H83" s="109">
        <f>+'GCA-GLTL'!H31</f>
        <v>3330</v>
      </c>
      <c r="I83" s="109"/>
      <c r="J83" s="109">
        <f>+'GCA-GLTL'!J31</f>
        <v>50000</v>
      </c>
      <c r="K83" s="147">
        <v>5</v>
      </c>
      <c r="L83" s="147"/>
      <c r="O83" s="118">
        <f>+E83+SUM(J83:J85)-SUM(H83:H85)</f>
        <v>226670</v>
      </c>
      <c r="Q83" s="27"/>
      <c r="R83" s="27"/>
      <c r="S83" s="27"/>
      <c r="T83" s="27"/>
      <c r="U83" s="27"/>
      <c r="V83" s="27"/>
      <c r="W83" s="27">
        <f>+O83</f>
        <v>226670</v>
      </c>
    </row>
    <row r="84" spans="1:23">
      <c r="A84" s="27"/>
      <c r="C84" s="27"/>
      <c r="D84" s="27"/>
      <c r="E84" s="27"/>
      <c r="F84" s="27"/>
      <c r="G84" s="147">
        <v>10</v>
      </c>
      <c r="H84" s="109">
        <f>+'GCA-GLTL'!H32</f>
        <v>0</v>
      </c>
      <c r="I84" s="109"/>
      <c r="J84" s="109"/>
      <c r="K84" s="147"/>
      <c r="L84" s="147"/>
      <c r="Q84" s="27"/>
      <c r="R84" s="27"/>
      <c r="S84" s="27"/>
      <c r="T84" s="27"/>
      <c r="U84" s="27"/>
      <c r="V84" s="27"/>
      <c r="W84" s="27"/>
    </row>
    <row r="85" spans="1:23">
      <c r="A85" s="27"/>
      <c r="C85" s="27"/>
      <c r="D85" s="27"/>
      <c r="E85" s="27"/>
      <c r="F85" s="27"/>
      <c r="G85" s="147">
        <v>11</v>
      </c>
      <c r="H85" s="109">
        <f>+'GCA-GLTL'!H33</f>
        <v>0</v>
      </c>
      <c r="I85" s="109"/>
      <c r="J85" s="109"/>
      <c r="K85" s="147"/>
      <c r="L85" s="147"/>
      <c r="Q85" s="27"/>
      <c r="R85" s="27"/>
      <c r="S85" s="27"/>
      <c r="T85" s="27"/>
      <c r="U85" s="27"/>
      <c r="V85" s="27"/>
      <c r="W85" s="27"/>
    </row>
    <row r="86" spans="1:23">
      <c r="A86" s="27" t="s">
        <v>523</v>
      </c>
      <c r="C86" s="27"/>
      <c r="D86" s="27"/>
      <c r="E86" s="27">
        <f>+'GCA-GLTL'!E35</f>
        <v>700000</v>
      </c>
      <c r="F86" s="27"/>
      <c r="G86" s="147"/>
      <c r="H86" s="109"/>
      <c r="I86" s="109"/>
      <c r="J86" s="109">
        <f>+'GCA-GLTL'!J35</f>
        <v>0</v>
      </c>
      <c r="K86" s="147">
        <v>15</v>
      </c>
      <c r="L86" s="147"/>
      <c r="O86" s="118">
        <f>+E86+J86-H86</f>
        <v>700000</v>
      </c>
      <c r="Q86" s="27"/>
      <c r="R86" s="27"/>
      <c r="S86" s="27"/>
      <c r="T86" s="27"/>
      <c r="U86" s="27"/>
      <c r="V86" s="27"/>
      <c r="W86" s="27">
        <f>+O86</f>
        <v>700000</v>
      </c>
    </row>
    <row r="87" spans="1:23">
      <c r="A87" s="27" t="s">
        <v>524</v>
      </c>
      <c r="C87" s="27"/>
      <c r="D87" s="27"/>
      <c r="E87" s="27">
        <f>+'GCA-GLTL'!E37</f>
        <v>220000</v>
      </c>
      <c r="F87" s="27"/>
      <c r="G87" s="147"/>
      <c r="H87" s="109"/>
      <c r="I87" s="109"/>
      <c r="J87" s="109">
        <f>+'GCA-GLTL'!J37</f>
        <v>20000</v>
      </c>
      <c r="K87" s="147">
        <v>16</v>
      </c>
      <c r="L87" s="147"/>
      <c r="O87" s="118">
        <f>+E87+J87-H87</f>
        <v>240000</v>
      </c>
      <c r="Q87" s="27"/>
      <c r="R87" s="27"/>
      <c r="S87" s="27"/>
      <c r="T87" s="27"/>
      <c r="U87" s="27"/>
      <c r="V87" s="27"/>
      <c r="W87" s="27">
        <f>+O87</f>
        <v>240000</v>
      </c>
    </row>
    <row r="88" spans="1:23">
      <c r="A88" s="27" t="s">
        <v>319</v>
      </c>
      <c r="C88" s="27"/>
      <c r="D88" s="27"/>
      <c r="E88" s="27">
        <f>+'GCA-GLTL'!E39</f>
        <v>3700000</v>
      </c>
      <c r="F88" s="27"/>
      <c r="G88" s="147">
        <v>12</v>
      </c>
      <c r="H88" s="109"/>
      <c r="I88" s="109"/>
      <c r="J88" s="109">
        <f>+H23</f>
        <v>0</v>
      </c>
      <c r="K88" s="147">
        <v>17</v>
      </c>
      <c r="L88" s="147"/>
      <c r="O88" s="25">
        <f>+E88+SUM(J88:J90)-SUM(H88:H90)</f>
        <v>4472000</v>
      </c>
      <c r="Q88" s="27"/>
      <c r="R88" s="27"/>
      <c r="S88" s="27"/>
      <c r="T88" s="27"/>
      <c r="U88" s="27"/>
      <c r="V88" s="27"/>
      <c r="W88" s="27">
        <f>+O88</f>
        <v>4472000</v>
      </c>
    </row>
    <row r="89" spans="1:23">
      <c r="A89" s="27"/>
      <c r="H89" s="109"/>
      <c r="I89" s="109"/>
      <c r="J89" s="109">
        <v>772000</v>
      </c>
      <c r="K89" s="147">
        <v>18</v>
      </c>
      <c r="L89" s="147"/>
      <c r="Q89" s="27"/>
      <c r="R89" s="27"/>
      <c r="S89" s="27"/>
      <c r="T89" s="27"/>
      <c r="U89" s="27"/>
      <c r="V89" s="27"/>
      <c r="W89" s="27"/>
    </row>
    <row r="90" spans="1:23">
      <c r="A90" s="27"/>
      <c r="C90" s="27"/>
      <c r="D90" s="27"/>
      <c r="E90" s="27"/>
      <c r="F90" s="27"/>
      <c r="H90" s="109"/>
      <c r="I90" s="109"/>
      <c r="J90" s="109">
        <f>+H29</f>
        <v>0</v>
      </c>
      <c r="K90" s="147">
        <v>22</v>
      </c>
      <c r="L90" s="147"/>
      <c r="Q90" s="27"/>
      <c r="R90" s="27"/>
      <c r="S90" s="27"/>
      <c r="T90" s="27"/>
      <c r="U90" s="27"/>
      <c r="V90" s="27"/>
      <c r="W90" s="27"/>
    </row>
    <row r="91" spans="1:23" ht="14" thickBot="1">
      <c r="A91" s="27"/>
      <c r="C91" s="55">
        <f>SUM(C69:C88)</f>
        <v>22550000</v>
      </c>
      <c r="E91" s="55">
        <f>SUM(E69:E88)</f>
        <v>22550000</v>
      </c>
      <c r="H91" s="109"/>
      <c r="I91" s="109"/>
      <c r="J91" s="109"/>
      <c r="Q91" s="27"/>
      <c r="R91" s="27"/>
      <c r="S91" s="27"/>
      <c r="T91" s="27"/>
      <c r="U91" s="27"/>
      <c r="V91" s="27"/>
      <c r="W91" s="27"/>
    </row>
    <row r="92" spans="1:23" ht="14" thickTop="1">
      <c r="A92" s="27" t="s">
        <v>525</v>
      </c>
      <c r="G92" s="147">
        <v>1</v>
      </c>
      <c r="H92" s="109">
        <f>+'GCA-GLTL'!H45</f>
        <v>90000</v>
      </c>
      <c r="I92" s="109"/>
      <c r="J92" s="109"/>
      <c r="K92" s="147"/>
      <c r="L92" s="147"/>
      <c r="M92" s="108">
        <f>+C92+H92-J92</f>
        <v>90000</v>
      </c>
      <c r="N92" s="27"/>
      <c r="Q92" s="27"/>
      <c r="R92" s="27"/>
      <c r="S92" s="27"/>
      <c r="T92" s="27"/>
      <c r="U92" s="109">
        <f>+M92</f>
        <v>90000</v>
      </c>
      <c r="V92" s="27"/>
      <c r="W92" s="27"/>
    </row>
    <row r="93" spans="1:23">
      <c r="A93" s="27" t="s">
        <v>526</v>
      </c>
      <c r="G93" s="147">
        <v>3</v>
      </c>
      <c r="H93" s="109">
        <v>41000</v>
      </c>
      <c r="I93" s="109"/>
      <c r="J93" s="109"/>
      <c r="K93" s="147"/>
      <c r="L93" s="147"/>
      <c r="M93" s="27">
        <f>+C93+H93-J93</f>
        <v>41000</v>
      </c>
      <c r="N93" s="27"/>
      <c r="Q93" s="27">
        <f>+M93</f>
        <v>41000</v>
      </c>
      <c r="R93" s="27"/>
      <c r="S93" s="27"/>
      <c r="T93" s="27"/>
      <c r="U93" s="27"/>
      <c r="V93" s="27"/>
      <c r="W93" s="27"/>
    </row>
    <row r="94" spans="1:23">
      <c r="A94" s="27" t="s">
        <v>527</v>
      </c>
      <c r="G94" s="147"/>
      <c r="H94" s="27"/>
      <c r="I94" s="27"/>
      <c r="J94" s="27">
        <f>+'GCA-GLTL'!J41</f>
        <v>80000</v>
      </c>
      <c r="K94" s="147">
        <v>7</v>
      </c>
      <c r="L94" s="147"/>
      <c r="O94" s="118">
        <f>+E94+J94-H94</f>
        <v>80000</v>
      </c>
      <c r="Q94" s="27"/>
      <c r="R94" s="27"/>
      <c r="S94" s="27"/>
      <c r="T94" s="27"/>
      <c r="U94" s="27"/>
      <c r="V94" s="27"/>
      <c r="W94" s="27">
        <f>+O94</f>
        <v>80000</v>
      </c>
    </row>
    <row r="95" spans="1:23">
      <c r="A95" s="27" t="s">
        <v>528</v>
      </c>
      <c r="G95" s="147">
        <v>10</v>
      </c>
      <c r="H95" s="27"/>
      <c r="I95" s="27"/>
      <c r="J95" s="27"/>
      <c r="K95" s="147">
        <v>13</v>
      </c>
      <c r="L95" s="147"/>
      <c r="M95" s="27">
        <f>+C95+H95-J95</f>
        <v>0</v>
      </c>
      <c r="N95" s="27"/>
      <c r="Q95" s="27"/>
      <c r="R95" s="27"/>
      <c r="S95" s="27"/>
      <c r="T95" s="27"/>
      <c r="U95" s="27">
        <f>+M95</f>
        <v>0</v>
      </c>
      <c r="V95" s="27"/>
      <c r="W95" s="27"/>
    </row>
    <row r="96" spans="1:23">
      <c r="A96" s="27" t="s">
        <v>529</v>
      </c>
      <c r="G96" s="147"/>
      <c r="H96" s="27"/>
      <c r="I96" s="27"/>
      <c r="J96" s="109">
        <v>580000</v>
      </c>
      <c r="K96" s="147">
        <v>12</v>
      </c>
      <c r="L96" s="147"/>
      <c r="O96" s="25">
        <f>+E96+J96-H96</f>
        <v>580000</v>
      </c>
      <c r="Q96" s="27"/>
      <c r="R96" s="27"/>
      <c r="S96" s="27"/>
      <c r="T96" s="27"/>
      <c r="U96" s="27"/>
      <c r="V96" s="27"/>
      <c r="W96" s="27">
        <f>+O96</f>
        <v>580000</v>
      </c>
    </row>
    <row r="97" spans="1:23">
      <c r="A97" s="27" t="s">
        <v>294</v>
      </c>
      <c r="G97" s="147">
        <v>18</v>
      </c>
      <c r="H97" s="27">
        <f>+'CCN SNP'!D9</f>
        <v>0</v>
      </c>
      <c r="I97" s="27"/>
      <c r="J97" s="27">
        <f>+H97</f>
        <v>0</v>
      </c>
      <c r="K97" s="147">
        <v>19</v>
      </c>
      <c r="L97" s="147"/>
      <c r="M97" s="27">
        <f>+C97+H97-J97</f>
        <v>0</v>
      </c>
      <c r="Q97" s="27"/>
      <c r="R97" s="27"/>
      <c r="S97" s="27"/>
      <c r="T97" s="27"/>
      <c r="U97" s="27"/>
      <c r="V97" s="27"/>
      <c r="W97" s="27"/>
    </row>
    <row r="98" spans="1:23">
      <c r="A98" s="27" t="s">
        <v>379</v>
      </c>
      <c r="G98" s="147">
        <v>18</v>
      </c>
      <c r="H98" s="27">
        <f>+'CCN SNP'!D10</f>
        <v>0</v>
      </c>
      <c r="J98" s="25">
        <f>+H98</f>
        <v>0</v>
      </c>
      <c r="K98" s="25">
        <v>21</v>
      </c>
      <c r="L98" s="147"/>
      <c r="M98" s="27">
        <f>+C98+H98-J98</f>
        <v>0</v>
      </c>
      <c r="Q98" s="27"/>
      <c r="R98" s="27"/>
      <c r="S98" s="27"/>
      <c r="T98" s="27"/>
      <c r="U98" s="27"/>
      <c r="V98" s="27"/>
      <c r="W98" s="27"/>
    </row>
    <row r="99" spans="1:23">
      <c r="A99" s="25" t="s">
        <v>476</v>
      </c>
      <c r="I99" s="27"/>
      <c r="J99" s="27">
        <f>+H26-J98</f>
        <v>0</v>
      </c>
      <c r="K99" s="147">
        <v>21</v>
      </c>
      <c r="L99" s="147"/>
      <c r="M99" s="27"/>
      <c r="N99" s="27"/>
      <c r="O99" s="25">
        <f>+E99+J99-H99</f>
        <v>0</v>
      </c>
      <c r="P99" s="27"/>
      <c r="Q99" s="27"/>
      <c r="R99" s="27"/>
      <c r="S99" s="27"/>
      <c r="T99" s="27"/>
      <c r="U99" s="27"/>
      <c r="V99" s="27"/>
      <c r="W99" s="27">
        <f>+O99</f>
        <v>0</v>
      </c>
    </row>
    <row r="100" spans="1:23" ht="14" thickBot="1">
      <c r="A100" s="27"/>
      <c r="G100" s="147"/>
      <c r="H100" s="35">
        <f>SUM(H9:H98)</f>
        <v>3718330</v>
      </c>
      <c r="I100" s="31"/>
      <c r="J100" s="35">
        <f>SUM(J9:J99)</f>
        <v>4292330</v>
      </c>
      <c r="K100" s="147"/>
      <c r="L100" s="147"/>
      <c r="M100" s="35">
        <f>SUM(M9:M99)</f>
        <v>25274670</v>
      </c>
      <c r="N100" s="31"/>
      <c r="O100" s="35">
        <f>SUM(O9:O99)</f>
        <v>25848670</v>
      </c>
      <c r="P100" s="31"/>
      <c r="Q100" s="29">
        <f>SUM(Q9:Q99)</f>
        <v>1624670</v>
      </c>
      <c r="R100" s="27"/>
      <c r="S100" s="29">
        <f>SUM(S9:S99)</f>
        <v>0</v>
      </c>
      <c r="T100" s="27"/>
      <c r="U100" s="29">
        <f>SUM(U9:U99)</f>
        <v>23650000</v>
      </c>
      <c r="V100" s="27"/>
      <c r="W100" s="29">
        <f>SUM(W9:W99)</f>
        <v>25848670</v>
      </c>
    </row>
    <row r="101" spans="1:23" ht="14" thickTop="1">
      <c r="A101" s="25" t="s">
        <v>530</v>
      </c>
      <c r="G101" s="147"/>
      <c r="H101" s="25">
        <f>+H100-J100</f>
        <v>-574000</v>
      </c>
      <c r="K101" s="147"/>
      <c r="L101" s="147"/>
      <c r="M101" s="25">
        <f>+M100-O100</f>
        <v>-574000</v>
      </c>
      <c r="Q101" s="27">
        <v>0</v>
      </c>
      <c r="R101" s="27"/>
      <c r="S101" s="27">
        <f>+Q100-S100</f>
        <v>1624670</v>
      </c>
      <c r="T101" s="27"/>
      <c r="U101" s="27">
        <f>+W100-U100</f>
        <v>2198670</v>
      </c>
      <c r="V101" s="27"/>
      <c r="W101" s="27">
        <v>0</v>
      </c>
    </row>
    <row r="102" spans="1:23" ht="14" thickBot="1">
      <c r="G102" s="147"/>
      <c r="K102" s="147"/>
      <c r="L102" s="147"/>
      <c r="Q102" s="35">
        <f>SUM(Q100:Q101)</f>
        <v>1624670</v>
      </c>
      <c r="R102" s="31"/>
      <c r="S102" s="35">
        <f>SUM(S100:S101)</f>
        <v>1624670</v>
      </c>
      <c r="T102" s="31"/>
      <c r="U102" s="35">
        <f>SUM(U100:U101)</f>
        <v>25848670</v>
      </c>
      <c r="V102" s="31"/>
      <c r="W102" s="35">
        <f>SUM(W100:W101)</f>
        <v>25848670</v>
      </c>
    </row>
    <row r="103" spans="1:23" ht="14" thickTop="1">
      <c r="G103" s="147"/>
      <c r="K103" s="147"/>
      <c r="L103" s="147"/>
    </row>
    <row r="104" spans="1:23">
      <c r="C104" s="31"/>
      <c r="D104" s="31"/>
      <c r="G104" s="147"/>
      <c r="K104" s="147"/>
      <c r="L104" s="147"/>
    </row>
    <row r="105" spans="1:23">
      <c r="C105" s="28"/>
      <c r="G105" s="147"/>
      <c r="K105" s="147"/>
      <c r="L105" s="147"/>
    </row>
    <row r="106" spans="1:23">
      <c r="G106" s="147"/>
      <c r="K106" s="147"/>
      <c r="L106" s="147"/>
    </row>
    <row r="107" spans="1:23">
      <c r="C107" s="27"/>
      <c r="D107" s="27"/>
      <c r="G107" s="147"/>
      <c r="K107" s="147"/>
      <c r="L107" s="147"/>
    </row>
    <row r="108" spans="1:23">
      <c r="C108" s="36"/>
      <c r="D108" s="27"/>
      <c r="G108" s="147"/>
      <c r="K108" s="147"/>
      <c r="L108" s="147"/>
    </row>
    <row r="109" spans="1:23" ht="14" thickBot="1">
      <c r="C109" s="35"/>
      <c r="D109" s="31"/>
      <c r="G109" s="147"/>
      <c r="K109" s="147"/>
      <c r="L109" s="147"/>
    </row>
    <row r="110" spans="1:23" ht="14" thickTop="1">
      <c r="K110" s="147"/>
      <c r="L110" s="147"/>
    </row>
  </sheetData>
  <mergeCells count="12">
    <mergeCell ref="A1:W1"/>
    <mergeCell ref="A2:W2"/>
    <mergeCell ref="A3:W3"/>
    <mergeCell ref="C6:E6"/>
    <mergeCell ref="M6:O6"/>
    <mergeCell ref="Q6:S6"/>
    <mergeCell ref="U6:W6"/>
    <mergeCell ref="C7:E7"/>
    <mergeCell ref="H7:J7"/>
    <mergeCell ref="M7:O7"/>
    <mergeCell ref="Q7:S7"/>
    <mergeCell ref="U7:W7"/>
  </mergeCells>
  <phoneticPr fontId="8" type="noConversion"/>
  <pageMargins left="0.2" right="0.2" top="0.25" bottom="0.25" header="0.3" footer="0.3"/>
  <pageSetup scale="55" fitToHeight="2" orientation="landscape"/>
  <extLst>
    <ext xmlns:mx="http://schemas.microsoft.com/office/mac/excel/2008/main" uri="{64002731-A6B0-56B0-2670-7721B7C09600}">
      <mx:PLV Mode="0" OnePage="0" WScale="0"/>
    </ext>
  </extLst>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I75"/>
  <sheetViews>
    <sheetView workbookViewId="0">
      <selection sqref="A1:I1"/>
    </sheetView>
  </sheetViews>
  <sheetFormatPr baseColWidth="10" defaultColWidth="8.5703125" defaultRowHeight="13" x14ac:dyDescent="0"/>
  <cols>
    <col min="1" max="3" width="2.5703125" style="24" customWidth="1"/>
    <col min="4" max="4" width="33.5703125" style="24" customWidth="1"/>
    <col min="5" max="5" width="11.5703125" style="24" customWidth="1"/>
    <col min="6" max="6" width="1.5703125" style="24" customWidth="1"/>
    <col min="7" max="7" width="11.5703125" style="24" customWidth="1"/>
    <col min="8" max="8" width="1.5703125" style="24" customWidth="1"/>
    <col min="9" max="9" width="11.5703125" style="24" customWidth="1"/>
    <col min="10" max="16384" width="8.5703125" style="24"/>
  </cols>
  <sheetData>
    <row r="1" spans="1:9">
      <c r="A1" s="154" t="s">
        <v>56</v>
      </c>
      <c r="B1" s="154"/>
      <c r="C1" s="154"/>
      <c r="D1" s="154"/>
      <c r="E1" s="154"/>
      <c r="F1" s="154"/>
      <c r="G1" s="154"/>
      <c r="H1" s="154"/>
      <c r="I1" s="154"/>
    </row>
    <row r="2" spans="1:9">
      <c r="A2" s="154" t="s">
        <v>291</v>
      </c>
      <c r="B2" s="154"/>
      <c r="C2" s="154"/>
      <c r="D2" s="154"/>
      <c r="E2" s="154"/>
      <c r="F2" s="154"/>
      <c r="G2" s="154"/>
      <c r="H2" s="154"/>
      <c r="I2" s="154"/>
    </row>
    <row r="3" spans="1:9">
      <c r="A3" s="154" t="s">
        <v>89</v>
      </c>
      <c r="B3" s="154"/>
      <c r="C3" s="154"/>
      <c r="D3" s="154"/>
      <c r="E3" s="154"/>
      <c r="F3" s="154"/>
      <c r="G3" s="154"/>
      <c r="H3" s="154"/>
      <c r="I3" s="154"/>
    </row>
    <row r="5" spans="1:9">
      <c r="E5" s="160" t="s">
        <v>531</v>
      </c>
      <c r="F5" s="160"/>
      <c r="G5" s="160"/>
      <c r="H5" s="160"/>
      <c r="I5" s="160"/>
    </row>
    <row r="6" spans="1:9">
      <c r="E6" s="144" t="s">
        <v>417</v>
      </c>
      <c r="F6" s="144"/>
      <c r="G6" s="144" t="s">
        <v>532</v>
      </c>
      <c r="H6" s="144"/>
      <c r="I6" s="144"/>
    </row>
    <row r="7" spans="1:9">
      <c r="A7" s="67" t="s">
        <v>292</v>
      </c>
      <c r="B7" s="67"/>
      <c r="C7" s="67"/>
      <c r="D7" s="67"/>
      <c r="E7" s="149" t="s">
        <v>464</v>
      </c>
      <c r="F7" s="144"/>
      <c r="G7" s="149" t="s">
        <v>464</v>
      </c>
      <c r="H7" s="144"/>
      <c r="I7" s="149" t="s">
        <v>193</v>
      </c>
    </row>
    <row r="8" spans="1:9">
      <c r="A8" s="32" t="s">
        <v>91</v>
      </c>
      <c r="B8" s="27"/>
      <c r="C8" s="27"/>
      <c r="D8" s="27"/>
      <c r="E8" s="123">
        <f>+'GF BS Conversion'!N11</f>
        <v>0</v>
      </c>
      <c r="F8" s="78"/>
      <c r="G8" s="78">
        <f>+'W&amp;S SNP'!G8</f>
        <v>0</v>
      </c>
      <c r="H8" s="57"/>
      <c r="I8" s="78">
        <f t="shared" ref="I8:I26" si="0">+E8+G8</f>
        <v>0</v>
      </c>
    </row>
    <row r="9" spans="1:9">
      <c r="A9" s="32" t="s">
        <v>16</v>
      </c>
      <c r="B9" s="27"/>
      <c r="C9" s="27"/>
      <c r="D9" s="27"/>
      <c r="E9" s="124">
        <f>+'GF BS Conversion'!N12</f>
        <v>0</v>
      </c>
      <c r="F9" s="38"/>
      <c r="G9" s="38">
        <f>+'W&amp;S SNP'!G10</f>
        <v>0</v>
      </c>
      <c r="I9" s="24">
        <f t="shared" si="0"/>
        <v>0</v>
      </c>
    </row>
    <row r="10" spans="1:9">
      <c r="A10" s="32"/>
      <c r="B10" s="27"/>
      <c r="C10" s="27"/>
      <c r="D10" s="27"/>
      <c r="E10" s="124"/>
      <c r="F10" s="38"/>
      <c r="G10" s="38"/>
    </row>
    <row r="11" spans="1:9">
      <c r="A11" s="32" t="s">
        <v>329</v>
      </c>
      <c r="B11" s="27"/>
      <c r="C11" s="27"/>
      <c r="D11" s="27"/>
      <c r="E11" s="124">
        <v>0</v>
      </c>
      <c r="F11" s="38"/>
      <c r="G11" s="38">
        <f>+'W&amp;S SNP'!G12</f>
        <v>0</v>
      </c>
      <c r="I11" s="24">
        <f t="shared" si="0"/>
        <v>0</v>
      </c>
    </row>
    <row r="12" spans="1:9">
      <c r="A12" s="32" t="s">
        <v>121</v>
      </c>
      <c r="B12" s="27"/>
      <c r="C12" s="27"/>
      <c r="D12" s="27"/>
      <c r="E12" s="124">
        <f>+'GF BS Conversion'!N14</f>
        <v>0</v>
      </c>
      <c r="F12" s="38"/>
      <c r="G12" s="38">
        <v>0</v>
      </c>
      <c r="I12" s="24">
        <f t="shared" si="0"/>
        <v>0</v>
      </c>
    </row>
    <row r="13" spans="1:9">
      <c r="A13" s="32" t="s">
        <v>476</v>
      </c>
      <c r="B13" s="27"/>
      <c r="C13" s="27"/>
      <c r="D13" s="27"/>
      <c r="E13" s="124">
        <f>+'GF BS Conversion'!N18</f>
        <v>0</v>
      </c>
      <c r="F13" s="38"/>
      <c r="G13" s="38">
        <f>+'W&amp;S SNP'!G9-'W&amp;S SNP'!G36</f>
        <v>0</v>
      </c>
      <c r="I13" s="24">
        <f t="shared" si="0"/>
        <v>0</v>
      </c>
    </row>
    <row r="14" spans="1:9">
      <c r="A14" s="32" t="s">
        <v>433</v>
      </c>
      <c r="B14" s="27"/>
      <c r="C14" s="27"/>
      <c r="D14" s="27"/>
      <c r="E14" s="124">
        <f>+'GF BS Conversion'!N19</f>
        <v>0</v>
      </c>
      <c r="F14" s="38"/>
      <c r="G14" s="38">
        <v>0</v>
      </c>
      <c r="I14" s="24">
        <f t="shared" si="0"/>
        <v>0</v>
      </c>
    </row>
    <row r="15" spans="1:9">
      <c r="A15" s="32"/>
      <c r="B15" s="27"/>
      <c r="C15" s="27"/>
      <c r="D15" s="27"/>
      <c r="E15" s="124"/>
      <c r="F15" s="38"/>
      <c r="G15" s="38"/>
    </row>
    <row r="16" spans="1:9">
      <c r="A16" s="32" t="s">
        <v>434</v>
      </c>
      <c r="E16" s="124">
        <f>+'GF BS Conversion'!N21</f>
        <v>0</v>
      </c>
      <c r="F16" s="38"/>
      <c r="G16" s="38">
        <v>0</v>
      </c>
      <c r="I16" s="24">
        <f t="shared" si="0"/>
        <v>0</v>
      </c>
    </row>
    <row r="17" spans="1:9">
      <c r="A17" s="32" t="s">
        <v>24</v>
      </c>
      <c r="E17" s="124">
        <f>+'GF BS Conversion'!N22</f>
        <v>0</v>
      </c>
      <c r="F17" s="38"/>
      <c r="G17" s="38">
        <f>+'W&amp;S SNP'!G13</f>
        <v>0</v>
      </c>
      <c r="I17" s="24">
        <f t="shared" si="0"/>
        <v>0</v>
      </c>
    </row>
    <row r="18" spans="1:9">
      <c r="A18" s="32" t="s">
        <v>533</v>
      </c>
      <c r="E18" s="124">
        <v>0</v>
      </c>
      <c r="F18" s="38"/>
      <c r="G18" s="38">
        <f>+'W&amp;S SNP'!I18</f>
        <v>0</v>
      </c>
      <c r="I18" s="24">
        <f t="shared" si="0"/>
        <v>0</v>
      </c>
    </row>
    <row r="19" spans="1:9">
      <c r="A19" s="24" t="s">
        <v>174</v>
      </c>
      <c r="E19" s="124">
        <f>+'GF BS Conversion'!N23</f>
        <v>0</v>
      </c>
      <c r="F19" s="38"/>
      <c r="G19" s="38">
        <f>+'W&amp;S SNP'!G21</f>
        <v>0</v>
      </c>
      <c r="I19" s="24">
        <f t="shared" si="0"/>
        <v>0</v>
      </c>
    </row>
    <row r="20" spans="1:9">
      <c r="A20" s="24" t="s">
        <v>181</v>
      </c>
      <c r="E20" s="124">
        <f>+'GF BS Conversion'!N24</f>
        <v>0</v>
      </c>
      <c r="F20" s="38"/>
      <c r="G20" s="38">
        <v>0</v>
      </c>
      <c r="I20" s="24">
        <f t="shared" si="0"/>
        <v>0</v>
      </c>
    </row>
    <row r="21" spans="1:9">
      <c r="A21" s="24" t="s">
        <v>457</v>
      </c>
      <c r="E21" s="124">
        <f>+'GF BS Conversion'!N25</f>
        <v>0</v>
      </c>
      <c r="F21" s="38"/>
      <c r="G21" s="38">
        <f>+'W&amp;S SNP'!G23</f>
        <v>0</v>
      </c>
      <c r="I21" s="24">
        <f t="shared" si="0"/>
        <v>0</v>
      </c>
    </row>
    <row r="22" spans="1:9">
      <c r="A22" s="24" t="s">
        <v>477</v>
      </c>
      <c r="E22" s="124">
        <f>+'GF BS Conversion'!N26</f>
        <v>0</v>
      </c>
      <c r="F22" s="38"/>
      <c r="G22" s="38">
        <f>+'W&amp;S SNP'!G25</f>
        <v>0</v>
      </c>
      <c r="I22" s="24">
        <f t="shared" si="0"/>
        <v>0</v>
      </c>
    </row>
    <row r="23" spans="1:9">
      <c r="A23" s="24" t="s">
        <v>478</v>
      </c>
      <c r="E23" s="124">
        <f>+'GF BS Conversion'!N27</f>
        <v>0</v>
      </c>
      <c r="F23" s="38"/>
      <c r="G23" s="38">
        <v>0</v>
      </c>
      <c r="I23" s="24">
        <f t="shared" si="0"/>
        <v>0</v>
      </c>
    </row>
    <row r="24" spans="1:9">
      <c r="A24" s="24" t="s">
        <v>534</v>
      </c>
      <c r="E24" s="124">
        <v>0</v>
      </c>
      <c r="F24" s="38"/>
      <c r="G24" s="38">
        <f>+'W&amp;S SNP'!G27</f>
        <v>0</v>
      </c>
      <c r="I24" s="24">
        <f t="shared" si="0"/>
        <v>0</v>
      </c>
    </row>
    <row r="25" spans="1:9">
      <c r="A25" s="24" t="s">
        <v>479</v>
      </c>
      <c r="E25" s="124">
        <f>+'GF BS Conversion'!N28</f>
        <v>0</v>
      </c>
      <c r="F25" s="38"/>
      <c r="G25" s="38">
        <v>0</v>
      </c>
      <c r="I25" s="24">
        <f t="shared" si="0"/>
        <v>0</v>
      </c>
    </row>
    <row r="26" spans="1:9">
      <c r="B26" s="27"/>
      <c r="C26" s="27"/>
      <c r="D26" s="27" t="s">
        <v>410</v>
      </c>
      <c r="E26" s="125">
        <f>SUM(E8:E25)</f>
        <v>0</v>
      </c>
      <c r="F26" s="38"/>
      <c r="G26" s="36">
        <f>SUM(G8:G25)</f>
        <v>0</v>
      </c>
      <c r="I26" s="37">
        <f t="shared" si="0"/>
        <v>0</v>
      </c>
    </row>
    <row r="27" spans="1:9">
      <c r="A27" s="27"/>
      <c r="B27" s="27"/>
      <c r="C27" s="27"/>
      <c r="D27" s="27"/>
      <c r="E27" s="126"/>
      <c r="F27" s="38"/>
    </row>
    <row r="28" spans="1:9">
      <c r="A28" s="86"/>
      <c r="B28" s="27"/>
      <c r="C28" s="27"/>
      <c r="D28" s="27"/>
      <c r="E28" s="53"/>
      <c r="F28" s="38"/>
    </row>
    <row r="29" spans="1:9">
      <c r="A29" s="32"/>
      <c r="B29" s="27"/>
      <c r="C29" s="27"/>
      <c r="D29" s="27"/>
      <c r="E29" s="127"/>
      <c r="F29" s="38"/>
      <c r="G29" s="82"/>
      <c r="I29" s="82"/>
    </row>
    <row r="30" spans="1:9">
      <c r="A30" s="27"/>
      <c r="B30" s="27"/>
      <c r="C30" s="27"/>
      <c r="D30" s="27"/>
      <c r="E30" s="126"/>
      <c r="F30" s="38"/>
    </row>
    <row r="31" spans="1:9">
      <c r="A31" s="85" t="s">
        <v>307</v>
      </c>
      <c r="B31" s="85"/>
      <c r="C31" s="85"/>
      <c r="D31" s="85"/>
      <c r="E31" s="126"/>
      <c r="F31" s="38"/>
    </row>
    <row r="32" spans="1:9">
      <c r="A32" s="32" t="s">
        <v>25</v>
      </c>
      <c r="B32" s="27"/>
      <c r="C32" s="27"/>
      <c r="D32" s="27"/>
      <c r="E32" s="71">
        <f>+'GF BS Conversion'!N34</f>
        <v>0</v>
      </c>
      <c r="F32" s="38"/>
      <c r="G32" s="38">
        <f>+'W&amp;S SNP'!G34</f>
        <v>0</v>
      </c>
      <c r="I32" s="24">
        <f t="shared" ref="I32:I35" si="1">+E32+G32</f>
        <v>0</v>
      </c>
    </row>
    <row r="33" spans="1:9">
      <c r="A33" s="32" t="s">
        <v>26</v>
      </c>
      <c r="B33" s="27"/>
      <c r="C33" s="27"/>
      <c r="D33" s="27"/>
      <c r="E33" s="71">
        <f>+'GF BS Conversion'!N35</f>
        <v>0</v>
      </c>
      <c r="F33" s="38"/>
      <c r="G33" s="38">
        <f>+'W&amp;S SNP'!G37</f>
        <v>0</v>
      </c>
      <c r="I33" s="24">
        <f t="shared" si="1"/>
        <v>0</v>
      </c>
    </row>
    <row r="34" spans="1:9">
      <c r="A34" s="32" t="s">
        <v>139</v>
      </c>
      <c r="B34" s="27"/>
      <c r="C34" s="27"/>
      <c r="D34" s="27"/>
      <c r="E34" s="71">
        <f>+'GF BS Conversion'!N36</f>
        <v>0</v>
      </c>
      <c r="F34" s="38"/>
      <c r="G34" s="24">
        <v>0</v>
      </c>
      <c r="I34" s="24">
        <f t="shared" si="1"/>
        <v>0</v>
      </c>
    </row>
    <row r="35" spans="1:9">
      <c r="A35" s="32" t="s">
        <v>481</v>
      </c>
      <c r="B35" s="27"/>
      <c r="C35" s="27"/>
      <c r="D35" s="27"/>
      <c r="E35" s="71">
        <f>+'GF BS Conversion'!N40</f>
        <v>580000</v>
      </c>
      <c r="F35" s="38"/>
      <c r="G35" s="38">
        <f>+'W&amp;S SNP'!G35</f>
        <v>0</v>
      </c>
      <c r="I35" s="24">
        <f t="shared" si="1"/>
        <v>580000</v>
      </c>
    </row>
    <row r="36" spans="1:9">
      <c r="A36" s="32"/>
      <c r="B36" s="27"/>
      <c r="C36" s="27"/>
      <c r="D36" s="27"/>
      <c r="E36" s="71"/>
      <c r="F36" s="38"/>
      <c r="G36" s="38"/>
    </row>
    <row r="37" spans="1:9">
      <c r="A37" s="27" t="s">
        <v>535</v>
      </c>
      <c r="B37" s="27"/>
      <c r="C37" s="27"/>
      <c r="D37" s="27"/>
      <c r="E37" s="126"/>
      <c r="F37" s="38"/>
      <c r="G37" s="38"/>
    </row>
    <row r="38" spans="1:9">
      <c r="A38" s="27"/>
      <c r="B38" s="27" t="s">
        <v>536</v>
      </c>
      <c r="C38" s="27"/>
      <c r="D38" s="27"/>
      <c r="E38" s="126"/>
      <c r="F38" s="38"/>
      <c r="G38" s="38"/>
    </row>
    <row r="39" spans="1:9">
      <c r="A39" s="27"/>
      <c r="B39" s="27"/>
      <c r="C39" s="24" t="s">
        <v>182</v>
      </c>
      <c r="D39" s="27"/>
      <c r="E39" s="126">
        <f>+'GLTL N'!K8</f>
        <v>0</v>
      </c>
      <c r="F39" s="38"/>
      <c r="G39" s="38">
        <f>+'W&amp;S SNP'!G38</f>
        <v>0</v>
      </c>
      <c r="I39" s="24">
        <f t="shared" ref="I39:I41" si="2">+E39+G39</f>
        <v>0</v>
      </c>
    </row>
    <row r="40" spans="1:9">
      <c r="A40" s="27"/>
      <c r="B40" s="27"/>
      <c r="C40" s="24" t="s">
        <v>183</v>
      </c>
      <c r="D40" s="27"/>
      <c r="E40" s="126">
        <f>+'GLTL N'!K9</f>
        <v>0</v>
      </c>
      <c r="F40" s="38"/>
      <c r="G40" s="38">
        <v>0</v>
      </c>
      <c r="I40" s="24">
        <f t="shared" si="2"/>
        <v>0</v>
      </c>
    </row>
    <row r="41" spans="1:9">
      <c r="A41" s="27"/>
      <c r="B41" s="27"/>
      <c r="C41" s="24" t="s">
        <v>187</v>
      </c>
      <c r="D41" s="27"/>
      <c r="E41" s="126">
        <f>+'GLTL N'!K10</f>
        <v>0</v>
      </c>
      <c r="F41" s="38"/>
      <c r="G41" s="38">
        <v>0</v>
      </c>
      <c r="I41" s="24">
        <f t="shared" si="2"/>
        <v>0</v>
      </c>
    </row>
    <row r="42" spans="1:9">
      <c r="A42" s="27"/>
      <c r="B42" s="27"/>
      <c r="D42" s="27"/>
      <c r="E42" s="126"/>
      <c r="F42" s="38"/>
      <c r="G42" s="38"/>
    </row>
    <row r="43" spans="1:9">
      <c r="E43" s="126"/>
      <c r="F43" s="38"/>
      <c r="G43" s="38"/>
    </row>
    <row r="44" spans="1:9">
      <c r="E44" s="126"/>
      <c r="F44" s="38"/>
      <c r="G44" s="38"/>
    </row>
    <row r="45" spans="1:9">
      <c r="B45" s="27" t="s">
        <v>537</v>
      </c>
      <c r="C45" s="27"/>
      <c r="E45" s="126"/>
      <c r="F45" s="38"/>
      <c r="G45" s="38"/>
      <c r="I45" s="38"/>
    </row>
    <row r="46" spans="1:9">
      <c r="B46" s="27"/>
      <c r="C46" s="27" t="s">
        <v>255</v>
      </c>
      <c r="E46" s="126">
        <v>0</v>
      </c>
      <c r="F46" s="38"/>
      <c r="G46" s="38">
        <f>+'W&amp;S SNP'!G42</f>
        <v>0</v>
      </c>
      <c r="I46" s="24">
        <f t="shared" ref="I46:I53" si="3">+E46+G46</f>
        <v>0</v>
      </c>
    </row>
    <row r="47" spans="1:9">
      <c r="B47" s="27"/>
      <c r="C47" s="24" t="s">
        <v>182</v>
      </c>
      <c r="E47" s="126">
        <f>+'GLTL N'!I8-'GLTL N'!K8</f>
        <v>0</v>
      </c>
      <c r="F47" s="38"/>
      <c r="G47" s="38">
        <f>+'W&amp;S SNP'!G43</f>
        <v>0</v>
      </c>
      <c r="I47" s="24">
        <f t="shared" si="3"/>
        <v>0</v>
      </c>
    </row>
    <row r="48" spans="1:9">
      <c r="B48" s="27"/>
      <c r="C48" s="24" t="s">
        <v>183</v>
      </c>
      <c r="E48" s="126">
        <f>+'GLTL N'!I9-'GLTL N'!K9</f>
        <v>0</v>
      </c>
      <c r="F48" s="38"/>
      <c r="G48" s="38">
        <v>0</v>
      </c>
      <c r="I48" s="24">
        <f t="shared" si="3"/>
        <v>0</v>
      </c>
    </row>
    <row r="49" spans="1:9">
      <c r="B49" s="27"/>
      <c r="C49" s="24" t="s">
        <v>187</v>
      </c>
      <c r="E49" s="126">
        <f>+'GLTL N'!I10-'GLTL N'!K10</f>
        <v>0</v>
      </c>
      <c r="F49" s="38"/>
      <c r="G49" s="38">
        <v>0</v>
      </c>
      <c r="I49" s="24">
        <f t="shared" si="3"/>
        <v>0</v>
      </c>
    </row>
    <row r="50" spans="1:9">
      <c r="B50" s="27"/>
      <c r="E50" s="126"/>
      <c r="F50" s="38"/>
      <c r="G50" s="38"/>
    </row>
    <row r="51" spans="1:9">
      <c r="C51" s="24" t="s">
        <v>244</v>
      </c>
      <c r="E51" s="126">
        <f>+'GLTL N'!I15-'GLTL N'!K15</f>
        <v>0</v>
      </c>
      <c r="F51" s="38"/>
      <c r="G51" s="38">
        <f>+'W&amp;S SNP'!G44</f>
        <v>0</v>
      </c>
      <c r="I51" s="24">
        <f t="shared" si="3"/>
        <v>0</v>
      </c>
    </row>
    <row r="52" spans="1:9">
      <c r="C52" s="24" t="s">
        <v>245</v>
      </c>
      <c r="E52" s="126">
        <f>+'GLTL N'!I16-'GLTL N'!K16</f>
        <v>0</v>
      </c>
      <c r="F52" s="38"/>
      <c r="G52" s="38">
        <v>0</v>
      </c>
      <c r="I52" s="24">
        <f t="shared" si="3"/>
        <v>0</v>
      </c>
    </row>
    <row r="53" spans="1:9">
      <c r="D53" s="24" t="s">
        <v>412</v>
      </c>
      <c r="E53" s="36">
        <f>SUM(E32:E52)</f>
        <v>580000</v>
      </c>
      <c r="F53" s="38"/>
      <c r="G53" s="36">
        <f>SUM(G32:G52)</f>
        <v>0</v>
      </c>
      <c r="I53" s="37">
        <f t="shared" si="3"/>
        <v>580000</v>
      </c>
    </row>
    <row r="54" spans="1:9">
      <c r="E54" s="38"/>
      <c r="F54" s="38"/>
      <c r="G54" s="38"/>
    </row>
    <row r="55" spans="1:9">
      <c r="A55" s="67" t="s">
        <v>317</v>
      </c>
      <c r="B55" s="67"/>
      <c r="C55" s="67"/>
      <c r="D55" s="67"/>
      <c r="E55" s="38"/>
      <c r="F55" s="38"/>
      <c r="G55" s="38"/>
    </row>
    <row r="56" spans="1:9">
      <c r="A56" s="24" t="s">
        <v>318</v>
      </c>
      <c r="E56" s="24">
        <f>+E70</f>
        <v>585000</v>
      </c>
      <c r="G56" s="38">
        <f>+'W&amp;S SNP'!G49</f>
        <v>0</v>
      </c>
      <c r="I56" s="24">
        <f t="shared" ref="I56" si="4">+E56+G56</f>
        <v>585000</v>
      </c>
    </row>
    <row r="57" spans="1:9">
      <c r="A57" s="24" t="s">
        <v>538</v>
      </c>
    </row>
    <row r="58" spans="1:9">
      <c r="E58" s="38"/>
      <c r="F58" s="38"/>
      <c r="G58" s="38"/>
    </row>
    <row r="59" spans="1:9">
      <c r="B59" s="24" t="s">
        <v>539</v>
      </c>
      <c r="E59" s="38">
        <f>+'Gov Fund BS'!I36</f>
        <v>-200000</v>
      </c>
      <c r="F59" s="38"/>
      <c r="G59" s="38">
        <v>0</v>
      </c>
      <c r="I59" s="24">
        <f t="shared" ref="I59" si="5">+E59+G59</f>
        <v>-200000</v>
      </c>
    </row>
    <row r="60" spans="1:9">
      <c r="B60" s="24" t="s">
        <v>540</v>
      </c>
      <c r="E60" s="38">
        <f>+'Gov Fund BS'!K36</f>
        <v>0</v>
      </c>
      <c r="F60" s="38"/>
      <c r="G60" s="38">
        <v>0</v>
      </c>
      <c r="I60" s="24">
        <f>+E60+G60</f>
        <v>0</v>
      </c>
    </row>
    <row r="61" spans="1:9">
      <c r="A61" s="24" t="s">
        <v>326</v>
      </c>
      <c r="E61" s="38">
        <f>+E62-SUM(E56:E60)</f>
        <v>-965000</v>
      </c>
      <c r="F61" s="38"/>
      <c r="G61" s="38">
        <f>+'W&amp;S SNP'!G50</f>
        <v>0</v>
      </c>
      <c r="I61" s="24">
        <f>+E61+G61</f>
        <v>-965000</v>
      </c>
    </row>
    <row r="62" spans="1:9" ht="14" thickBot="1">
      <c r="A62" s="24" t="s">
        <v>541</v>
      </c>
      <c r="E62" s="30">
        <f>+E26-E53+E29</f>
        <v>-580000</v>
      </c>
      <c r="F62" s="38"/>
      <c r="G62" s="80">
        <f>+G26-G53</f>
        <v>0</v>
      </c>
      <c r="I62" s="30">
        <f>+G62+E62</f>
        <v>-580000</v>
      </c>
    </row>
    <row r="63" spans="1:9" ht="14" thickTop="1">
      <c r="E63" s="24">
        <f>+E62-'One Worksheet'!U5</f>
        <v>-2853330</v>
      </c>
      <c r="F63" s="38"/>
    </row>
    <row r="64" spans="1:9">
      <c r="E64" s="38">
        <f>+E62-'GF BS Conversion'!N55</f>
        <v>0</v>
      </c>
      <c r="F64" s="38"/>
    </row>
    <row r="65" spans="1:9">
      <c r="A65" s="67" t="s">
        <v>542</v>
      </c>
    </row>
    <row r="66" spans="1:9">
      <c r="A66" s="24" t="s">
        <v>543</v>
      </c>
      <c r="E66" s="76">
        <f>SUM(E19:E25)</f>
        <v>0</v>
      </c>
    </row>
    <row r="67" spans="1:9">
      <c r="A67" s="24" t="s">
        <v>544</v>
      </c>
      <c r="E67" s="24">
        <f>-(SUM(E39:E42)+SUM(E47:E50)-E41-E49-585000)</f>
        <v>585000</v>
      </c>
    </row>
    <row r="68" spans="1:9">
      <c r="A68" s="24" t="s">
        <v>545</v>
      </c>
      <c r="E68" s="24">
        <f>-(+E41+E49)</f>
        <v>0</v>
      </c>
    </row>
    <row r="69" spans="1:9">
      <c r="A69" s="24" t="s">
        <v>546</v>
      </c>
      <c r="E69" s="24">
        <f>-E34</f>
        <v>0</v>
      </c>
    </row>
    <row r="70" spans="1:9" ht="14" thickBot="1">
      <c r="A70" s="24" t="s">
        <v>318</v>
      </c>
      <c r="E70" s="35">
        <f>SUM(E66:E69)</f>
        <v>585000</v>
      </c>
    </row>
    <row r="71" spans="1:9" ht="14" thickTop="1"/>
    <row r="72" spans="1:9">
      <c r="A72" s="159" t="s">
        <v>547</v>
      </c>
      <c r="B72" s="159"/>
      <c r="C72" s="159"/>
      <c r="D72" s="159"/>
      <c r="E72" s="159"/>
      <c r="F72" s="159"/>
      <c r="G72" s="159"/>
      <c r="H72" s="159"/>
      <c r="I72" s="159"/>
    </row>
    <row r="73" spans="1:9">
      <c r="A73" s="159" t="s">
        <v>548</v>
      </c>
      <c r="B73" s="159"/>
      <c r="C73" s="159"/>
      <c r="D73" s="159"/>
      <c r="E73" s="159"/>
      <c r="F73" s="159"/>
      <c r="G73" s="159"/>
      <c r="H73" s="159"/>
      <c r="I73" s="159"/>
    </row>
    <row r="74" spans="1:9">
      <c r="A74" s="24" t="s">
        <v>549</v>
      </c>
    </row>
    <row r="75" spans="1:9">
      <c r="A75" s="24" t="s">
        <v>550</v>
      </c>
    </row>
  </sheetData>
  <mergeCells count="6">
    <mergeCell ref="A73:I73"/>
    <mergeCell ref="A1:I1"/>
    <mergeCell ref="A2:I2"/>
    <mergeCell ref="A3:I3"/>
    <mergeCell ref="E5:I5"/>
    <mergeCell ref="A72:I72"/>
  </mergeCells>
  <printOptions horizontalCentered="1"/>
  <pageMargins left="0.7" right="0.7" top="0.25" bottom="0.25" header="0.3" footer="0.3"/>
  <pageSetup scale="67" orientation="portrait"/>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J45"/>
  <sheetViews>
    <sheetView workbookViewId="0">
      <selection sqref="A1:J1"/>
    </sheetView>
  </sheetViews>
  <sheetFormatPr baseColWidth="10" defaultColWidth="8.5703125" defaultRowHeight="15" x14ac:dyDescent="0"/>
  <cols>
    <col min="1" max="2" width="2.5703125" customWidth="1"/>
    <col min="3" max="3" width="30.5703125" customWidth="1"/>
    <col min="4" max="4" width="10.5703125" customWidth="1"/>
    <col min="5" max="5" width="1.5703125" customWidth="1"/>
    <col min="6" max="6" width="10.5703125" customWidth="1"/>
    <col min="7" max="7" width="1.5703125" customWidth="1"/>
    <col min="8" max="8" width="10.5703125" customWidth="1"/>
    <col min="9" max="9" width="1.5703125" customWidth="1"/>
    <col min="10" max="10" width="11.5703125" customWidth="1"/>
  </cols>
  <sheetData>
    <row r="1" spans="1:10">
      <c r="A1" s="153" t="str">
        <f>+'GF BS'!A1:F1</f>
        <v>CITY OF SPRINGFIELD</v>
      </c>
      <c r="B1" s="153"/>
      <c r="C1" s="153"/>
      <c r="D1" s="153"/>
      <c r="E1" s="153"/>
      <c r="F1" s="153"/>
      <c r="G1" s="153"/>
      <c r="H1" s="153"/>
      <c r="I1" s="153"/>
      <c r="J1" s="153"/>
    </row>
    <row r="2" spans="1:10">
      <c r="A2" s="153" t="s">
        <v>57</v>
      </c>
      <c r="B2" s="153"/>
      <c r="C2" s="153"/>
      <c r="D2" s="153"/>
      <c r="E2" s="153"/>
      <c r="F2" s="153"/>
      <c r="G2" s="153"/>
      <c r="H2" s="153"/>
      <c r="I2" s="153"/>
      <c r="J2" s="153"/>
    </row>
    <row r="3" spans="1:10">
      <c r="A3" s="153" t="s">
        <v>58</v>
      </c>
      <c r="B3" s="153"/>
      <c r="C3" s="153"/>
      <c r="D3" s="153"/>
      <c r="E3" s="153"/>
      <c r="F3" s="153"/>
      <c r="G3" s="153"/>
      <c r="H3" s="153"/>
      <c r="I3" s="153"/>
      <c r="J3" s="153"/>
    </row>
    <row r="4" spans="1:10">
      <c r="A4" s="153" t="s">
        <v>108</v>
      </c>
      <c r="B4" s="153"/>
      <c r="C4" s="153"/>
      <c r="D4" s="153"/>
      <c r="E4" s="153"/>
      <c r="F4" s="153"/>
      <c r="G4" s="153"/>
      <c r="H4" s="153"/>
      <c r="I4" s="153"/>
      <c r="J4" s="153"/>
    </row>
    <row r="5" spans="1:10">
      <c r="A5" s="153" t="s">
        <v>59</v>
      </c>
      <c r="B5" s="153"/>
      <c r="C5" s="153"/>
      <c r="D5" s="153"/>
      <c r="E5" s="153"/>
      <c r="F5" s="153"/>
      <c r="G5" s="153"/>
      <c r="H5" s="153"/>
      <c r="I5" s="153"/>
      <c r="J5" s="153"/>
    </row>
    <row r="6" spans="1:10">
      <c r="A6" s="143"/>
      <c r="B6" s="143"/>
      <c r="C6" s="143"/>
      <c r="D6" s="143"/>
      <c r="E6" s="143"/>
      <c r="F6" s="143"/>
      <c r="G6" s="143"/>
      <c r="H6" s="143"/>
      <c r="I6" s="143"/>
      <c r="J6" s="143"/>
    </row>
    <row r="7" spans="1:10">
      <c r="A7" s="25"/>
      <c r="B7" s="25"/>
      <c r="C7" s="25"/>
      <c r="D7" s="24"/>
      <c r="E7" s="24"/>
      <c r="F7" s="147"/>
      <c r="G7" s="147"/>
      <c r="H7" s="147"/>
      <c r="I7" s="147"/>
      <c r="J7" s="147" t="s">
        <v>109</v>
      </c>
    </row>
    <row r="8" spans="1:10">
      <c r="A8" s="25"/>
      <c r="B8" s="25"/>
      <c r="C8" s="25"/>
      <c r="D8" s="147" t="s">
        <v>110</v>
      </c>
      <c r="E8" s="147"/>
      <c r="F8" s="147" t="s">
        <v>111</v>
      </c>
      <c r="G8" s="147"/>
      <c r="H8" s="147"/>
      <c r="I8" s="147"/>
      <c r="J8" s="147" t="s">
        <v>112</v>
      </c>
    </row>
    <row r="9" spans="1:10">
      <c r="A9" s="25"/>
      <c r="B9" s="25"/>
      <c r="C9" s="25"/>
      <c r="D9" s="17" t="s">
        <v>113</v>
      </c>
      <c r="E9" s="147"/>
      <c r="F9" s="17" t="s">
        <v>113</v>
      </c>
      <c r="G9" s="147"/>
      <c r="H9" s="17" t="s">
        <v>114</v>
      </c>
      <c r="I9" s="147"/>
      <c r="J9" s="17" t="s">
        <v>115</v>
      </c>
    </row>
    <row r="10" spans="1:10">
      <c r="A10" s="25" t="s">
        <v>60</v>
      </c>
      <c r="B10" s="25"/>
      <c r="C10" s="25"/>
      <c r="D10" s="25"/>
      <c r="E10" s="25"/>
      <c r="F10" s="25"/>
      <c r="G10" s="25"/>
      <c r="H10" s="25"/>
      <c r="I10" s="25"/>
      <c r="J10" s="25"/>
    </row>
    <row r="11" spans="1:10">
      <c r="B11" s="25" t="s">
        <v>61</v>
      </c>
      <c r="C11" s="25"/>
      <c r="D11" s="31">
        <v>1500000</v>
      </c>
      <c r="E11" s="31"/>
      <c r="F11" s="31">
        <v>1500000</v>
      </c>
      <c r="G11" s="31"/>
      <c r="H11" s="75">
        <f>+'GF OS'!D7</f>
        <v>0</v>
      </c>
      <c r="I11" s="31"/>
      <c r="J11" s="25">
        <f t="shared" ref="J11:J16" si="0">H11-F11</f>
        <v>-1500000</v>
      </c>
    </row>
    <row r="12" spans="1:10">
      <c r="B12" s="25" t="s">
        <v>62</v>
      </c>
      <c r="C12" s="25"/>
      <c r="D12" s="27">
        <v>15500</v>
      </c>
      <c r="E12" s="27"/>
      <c r="F12" s="27">
        <v>15500</v>
      </c>
      <c r="G12" s="27"/>
      <c r="H12" s="31">
        <f>+'GF OS'!D8</f>
        <v>0</v>
      </c>
      <c r="I12" s="27"/>
      <c r="J12" s="27">
        <f t="shared" si="0"/>
        <v>-15500</v>
      </c>
    </row>
    <row r="13" spans="1:10">
      <c r="B13" s="25" t="s">
        <v>63</v>
      </c>
      <c r="C13" s="25"/>
      <c r="D13" s="27">
        <v>122000</v>
      </c>
      <c r="E13" s="27"/>
      <c r="F13" s="27">
        <v>122000</v>
      </c>
      <c r="G13" s="27"/>
      <c r="H13" s="31">
        <f>+'GF OS'!D9</f>
        <v>0</v>
      </c>
      <c r="I13" s="27"/>
      <c r="J13" s="27">
        <f t="shared" si="0"/>
        <v>-122000</v>
      </c>
    </row>
    <row r="14" spans="1:10">
      <c r="B14" s="25" t="s">
        <v>64</v>
      </c>
      <c r="C14" s="25"/>
      <c r="D14" s="27">
        <v>50000</v>
      </c>
      <c r="E14" s="27"/>
      <c r="F14" s="27">
        <v>50000</v>
      </c>
      <c r="G14" s="27"/>
      <c r="H14" s="31">
        <f>+'GF OS'!D10</f>
        <v>0</v>
      </c>
      <c r="I14" s="27"/>
      <c r="J14" s="27">
        <f t="shared" si="0"/>
        <v>-50000</v>
      </c>
    </row>
    <row r="15" spans="1:10">
      <c r="B15" s="25" t="s">
        <v>65</v>
      </c>
      <c r="C15" s="25"/>
      <c r="D15" s="27">
        <v>300000</v>
      </c>
      <c r="E15" s="27"/>
      <c r="F15" s="27">
        <v>300000</v>
      </c>
      <c r="G15" s="27"/>
      <c r="H15" s="31">
        <f>+'GF OS'!D11</f>
        <v>0</v>
      </c>
      <c r="I15" s="27"/>
      <c r="J15" s="27">
        <f t="shared" si="0"/>
        <v>-300000</v>
      </c>
    </row>
    <row r="16" spans="1:10">
      <c r="B16" s="25" t="s">
        <v>66</v>
      </c>
      <c r="C16" s="25"/>
      <c r="D16" s="27">
        <v>45000</v>
      </c>
      <c r="E16" s="27"/>
      <c r="F16" s="27">
        <v>45000</v>
      </c>
      <c r="G16" s="27"/>
      <c r="H16" s="31">
        <f>+'GF OS'!D12</f>
        <v>0</v>
      </c>
      <c r="I16" s="27"/>
      <c r="J16" s="27">
        <f t="shared" si="0"/>
        <v>-45000</v>
      </c>
    </row>
    <row r="17" spans="1:10">
      <c r="B17" s="25"/>
      <c r="C17" s="25" t="s">
        <v>67</v>
      </c>
      <c r="D17" s="36">
        <f>SUM(D11:D16)</f>
        <v>2032500</v>
      </c>
      <c r="E17" s="27"/>
      <c r="F17" s="36">
        <f>SUM(F11:F16)</f>
        <v>2032500</v>
      </c>
      <c r="G17" s="27"/>
      <c r="H17" s="36">
        <f>SUM(H11:H16)</f>
        <v>0</v>
      </c>
      <c r="I17" s="27"/>
      <c r="J17" s="37">
        <f>SUM(J11:J16)</f>
        <v>-2032500</v>
      </c>
    </row>
    <row r="18" spans="1:10">
      <c r="A18" s="25"/>
      <c r="B18" s="25"/>
      <c r="C18" s="25"/>
      <c r="D18" s="27"/>
      <c r="E18" s="27"/>
      <c r="F18" s="27"/>
      <c r="G18" s="27"/>
      <c r="H18" s="27"/>
      <c r="I18" s="27"/>
      <c r="J18" s="25"/>
    </row>
    <row r="19" spans="1:10">
      <c r="A19" s="25" t="s">
        <v>68</v>
      </c>
      <c r="B19" s="25"/>
      <c r="C19" s="25"/>
      <c r="D19" s="27"/>
      <c r="E19" s="27"/>
      <c r="F19" s="27"/>
      <c r="G19" s="27"/>
      <c r="H19" s="27"/>
      <c r="I19" s="27"/>
      <c r="J19" s="25"/>
    </row>
    <row r="20" spans="1:10">
      <c r="A20" s="25" t="s">
        <v>116</v>
      </c>
      <c r="B20" s="25"/>
      <c r="C20" s="25"/>
      <c r="D20" s="27"/>
      <c r="E20" s="27"/>
      <c r="F20" s="27"/>
      <c r="G20" s="27"/>
      <c r="H20" s="27"/>
      <c r="I20" s="27"/>
      <c r="J20" s="25"/>
    </row>
    <row r="21" spans="1:10">
      <c r="B21" s="25" t="s">
        <v>70</v>
      </c>
      <c r="C21" s="25"/>
      <c r="D21" s="27">
        <v>260000</v>
      </c>
      <c r="E21" s="27"/>
      <c r="F21" s="27">
        <v>260000</v>
      </c>
      <c r="G21" s="27"/>
      <c r="H21" s="27">
        <f>+'GF OS'!D17</f>
        <v>0</v>
      </c>
      <c r="I21" s="27"/>
      <c r="J21" s="25">
        <f>F21-H21</f>
        <v>260000</v>
      </c>
    </row>
    <row r="22" spans="1:10">
      <c r="B22" s="25" t="s">
        <v>71</v>
      </c>
      <c r="C22" s="25"/>
      <c r="D22" s="27">
        <v>868000</v>
      </c>
      <c r="E22" s="27"/>
      <c r="F22" s="27">
        <v>868000</v>
      </c>
      <c r="G22" s="27"/>
      <c r="H22" s="27">
        <f>+'GF OS'!D18</f>
        <v>0</v>
      </c>
      <c r="I22" s="27"/>
      <c r="J22" s="25">
        <f t="shared" ref="J22:J26" si="1">F22-H22</f>
        <v>868000</v>
      </c>
    </row>
    <row r="23" spans="1:10">
      <c r="B23" s="25" t="s">
        <v>72</v>
      </c>
      <c r="C23" s="25"/>
      <c r="D23" s="27">
        <v>290000</v>
      </c>
      <c r="E23" s="27"/>
      <c r="F23" s="27">
        <v>290000</v>
      </c>
      <c r="G23" s="27"/>
      <c r="H23" s="27">
        <f>+'GF OS'!D19</f>
        <v>0</v>
      </c>
      <c r="I23" s="27"/>
      <c r="J23" s="25">
        <f t="shared" si="1"/>
        <v>290000</v>
      </c>
    </row>
    <row r="24" spans="1:10">
      <c r="B24" s="25" t="s">
        <v>73</v>
      </c>
      <c r="C24" s="25"/>
      <c r="D24" s="27">
        <v>215000</v>
      </c>
      <c r="E24" s="27"/>
      <c r="F24" s="27">
        <v>215000</v>
      </c>
      <c r="G24" s="27"/>
      <c r="H24" s="27">
        <f>+'GF OS'!D20</f>
        <v>0</v>
      </c>
      <c r="I24" s="27"/>
      <c r="J24" s="25">
        <f t="shared" si="1"/>
        <v>215000</v>
      </c>
    </row>
    <row r="25" spans="1:10">
      <c r="B25" s="25" t="s">
        <v>74</v>
      </c>
      <c r="C25" s="25"/>
      <c r="D25" s="27">
        <v>330000</v>
      </c>
      <c r="E25" s="27"/>
      <c r="F25" s="27">
        <v>330000</v>
      </c>
      <c r="G25" s="27"/>
      <c r="H25" s="27">
        <f>+'GF OS'!D21</f>
        <v>0</v>
      </c>
      <c r="I25" s="27"/>
      <c r="J25" s="25">
        <f t="shared" si="1"/>
        <v>330000</v>
      </c>
    </row>
    <row r="26" spans="1:10">
      <c r="A26" s="25" t="s">
        <v>75</v>
      </c>
      <c r="B26" s="25"/>
      <c r="C26" s="25"/>
      <c r="D26" s="27">
        <v>0</v>
      </c>
      <c r="E26" s="27"/>
      <c r="F26" s="27">
        <v>80000</v>
      </c>
      <c r="G26" s="27"/>
      <c r="H26" s="27">
        <f>+'GF OS'!D22</f>
        <v>0</v>
      </c>
      <c r="I26" s="27"/>
      <c r="J26" s="25">
        <f t="shared" si="1"/>
        <v>80000</v>
      </c>
    </row>
    <row r="27" spans="1:10">
      <c r="B27" s="25"/>
      <c r="C27" s="25" t="s">
        <v>76</v>
      </c>
      <c r="D27" s="27">
        <f>SUM(D21:D26)</f>
        <v>1963000</v>
      </c>
      <c r="E27" s="27"/>
      <c r="F27" s="27">
        <f>SUM(F21:F26)</f>
        <v>2043000</v>
      </c>
      <c r="G27" s="27"/>
      <c r="H27" s="27">
        <f>SUM(H21:H26)</f>
        <v>0</v>
      </c>
      <c r="I27" s="27"/>
      <c r="J27" s="27">
        <f>SUM(J21:J26)</f>
        <v>2043000</v>
      </c>
    </row>
    <row r="28" spans="1:10">
      <c r="A28" s="25" t="s">
        <v>77</v>
      </c>
      <c r="B28" s="25"/>
      <c r="C28" s="25"/>
      <c r="D28" s="36">
        <f>+D17-D27</f>
        <v>69500</v>
      </c>
      <c r="E28" s="27"/>
      <c r="F28" s="36">
        <f>+F17-F27</f>
        <v>-10500</v>
      </c>
      <c r="G28" s="27"/>
      <c r="H28" s="36">
        <f>+H17-H27</f>
        <v>0</v>
      </c>
      <c r="I28" s="27"/>
      <c r="J28" s="36">
        <f>+J17+J27</f>
        <v>10500</v>
      </c>
    </row>
    <row r="29" spans="1:10">
      <c r="A29" s="25"/>
      <c r="B29" s="25"/>
      <c r="C29" s="25"/>
      <c r="D29" s="27"/>
      <c r="E29" s="27"/>
      <c r="F29" s="27"/>
      <c r="G29" s="27"/>
      <c r="H29" s="27"/>
      <c r="I29" s="27"/>
      <c r="J29" s="25"/>
    </row>
    <row r="30" spans="1:10">
      <c r="A30" s="25" t="s">
        <v>78</v>
      </c>
      <c r="B30" s="25"/>
      <c r="C30" s="25"/>
      <c r="D30" s="27"/>
      <c r="E30" s="27"/>
      <c r="F30" s="27"/>
      <c r="G30" s="27"/>
      <c r="H30" s="27"/>
      <c r="I30" s="27"/>
      <c r="J30" s="25"/>
    </row>
    <row r="31" spans="1:10">
      <c r="B31" s="25" t="s">
        <v>79</v>
      </c>
      <c r="C31" s="25"/>
      <c r="D31" s="27">
        <v>0</v>
      </c>
      <c r="E31" s="27"/>
      <c r="F31" s="27">
        <v>100000</v>
      </c>
      <c r="G31" s="27"/>
      <c r="H31" s="27">
        <f>+'GF OS'!D27</f>
        <v>0</v>
      </c>
      <c r="I31" s="27"/>
      <c r="J31" s="27">
        <f>H31-F31</f>
        <v>-100000</v>
      </c>
    </row>
    <row r="32" spans="1:10">
      <c r="B32" s="25" t="s">
        <v>80</v>
      </c>
      <c r="C32" s="25"/>
      <c r="D32" s="27">
        <v>0</v>
      </c>
      <c r="E32" s="27"/>
      <c r="F32" s="27">
        <v>0</v>
      </c>
      <c r="G32" s="27"/>
      <c r="H32" s="27">
        <f>+'GF OS'!D28</f>
        <v>0</v>
      </c>
      <c r="I32" s="27"/>
      <c r="J32" s="27">
        <f>H32-F32</f>
        <v>0</v>
      </c>
    </row>
    <row r="33" spans="1:10">
      <c r="B33" s="25" t="s">
        <v>81</v>
      </c>
      <c r="C33" s="25"/>
      <c r="D33" s="27">
        <v>0</v>
      </c>
      <c r="E33" s="27"/>
      <c r="F33" s="27">
        <v>80000</v>
      </c>
      <c r="G33" s="27"/>
      <c r="H33" s="27">
        <f>+'GF OS'!D29</f>
        <v>0</v>
      </c>
      <c r="I33" s="27"/>
      <c r="J33" s="27">
        <f>H33-F33</f>
        <v>-80000</v>
      </c>
    </row>
    <row r="34" spans="1:10">
      <c r="B34" s="25" t="s">
        <v>82</v>
      </c>
      <c r="C34" s="25"/>
      <c r="D34" s="27">
        <v>0</v>
      </c>
      <c r="E34" s="27"/>
      <c r="F34" s="27">
        <v>-60000</v>
      </c>
      <c r="G34" s="27"/>
      <c r="H34" s="27">
        <f>+'GF OS'!D30</f>
        <v>0</v>
      </c>
      <c r="I34" s="27"/>
      <c r="J34" s="25">
        <f>F34-H34</f>
        <v>-60000</v>
      </c>
    </row>
    <row r="35" spans="1:10">
      <c r="B35" s="25" t="s">
        <v>83</v>
      </c>
      <c r="C35" s="25"/>
      <c r="D35" s="27">
        <v>0</v>
      </c>
      <c r="E35" s="27"/>
      <c r="F35" s="27">
        <v>-270000</v>
      </c>
      <c r="G35" s="27"/>
      <c r="H35" s="27">
        <f>+'GF OS'!D31</f>
        <v>0</v>
      </c>
      <c r="I35" s="27"/>
      <c r="J35" s="25">
        <f>F35-H35</f>
        <v>-270000</v>
      </c>
    </row>
    <row r="36" spans="1:10">
      <c r="B36" s="25" t="s">
        <v>84</v>
      </c>
      <c r="C36" s="25"/>
      <c r="D36" s="27">
        <v>0</v>
      </c>
      <c r="E36" s="27"/>
      <c r="F36" s="27">
        <v>-729965</v>
      </c>
      <c r="G36" s="27"/>
      <c r="H36" s="27">
        <f>+'GF OS'!D32</f>
        <v>0</v>
      </c>
      <c r="I36" s="27"/>
      <c r="J36" s="25">
        <f>F36-H36</f>
        <v>-729965</v>
      </c>
    </row>
    <row r="37" spans="1:10">
      <c r="A37" s="25"/>
      <c r="B37" s="25"/>
      <c r="C37" s="25" t="s">
        <v>85</v>
      </c>
      <c r="D37" s="36">
        <f>SUM(D31:D36)</f>
        <v>0</v>
      </c>
      <c r="E37" s="27"/>
      <c r="F37" s="36">
        <f>SUM(F31:F36)</f>
        <v>-879965</v>
      </c>
      <c r="G37" s="27"/>
      <c r="H37" s="36">
        <f>SUM(H31:H36)</f>
        <v>0</v>
      </c>
      <c r="I37" s="27"/>
      <c r="J37" s="37">
        <f>SUM(J31:J36)</f>
        <v>-1239965</v>
      </c>
    </row>
    <row r="38" spans="1:10">
      <c r="A38" s="25"/>
      <c r="B38" s="25"/>
      <c r="C38" s="25"/>
      <c r="D38" s="27"/>
      <c r="E38" s="27"/>
      <c r="F38" s="27"/>
      <c r="G38" s="27"/>
      <c r="H38" s="27"/>
      <c r="I38" s="27"/>
      <c r="J38" s="25"/>
    </row>
    <row r="39" spans="1:10">
      <c r="A39" s="25" t="s">
        <v>86</v>
      </c>
      <c r="B39" s="25"/>
      <c r="C39" s="25"/>
      <c r="D39" s="27">
        <f>+D28+D37</f>
        <v>69500</v>
      </c>
      <c r="E39" s="27"/>
      <c r="F39" s="27">
        <f>+F28+F37</f>
        <v>-890465</v>
      </c>
      <c r="G39" s="27"/>
      <c r="H39" s="27">
        <f>+H28+H37</f>
        <v>0</v>
      </c>
      <c r="I39" s="27"/>
      <c r="J39" s="25">
        <f>+J28+J37</f>
        <v>-1229465</v>
      </c>
    </row>
    <row r="40" spans="1:10">
      <c r="A40" s="25"/>
      <c r="B40" s="25"/>
      <c r="C40" s="25"/>
      <c r="D40" s="27"/>
      <c r="E40" s="27"/>
      <c r="F40" s="27"/>
      <c r="G40" s="27"/>
      <c r="H40" s="27"/>
      <c r="I40" s="27"/>
      <c r="J40" s="25"/>
    </row>
    <row r="41" spans="1:10">
      <c r="A41" s="25" t="s">
        <v>117</v>
      </c>
      <c r="B41" s="25"/>
      <c r="C41" s="25"/>
      <c r="D41" s="27">
        <v>1442000</v>
      </c>
      <c r="E41" s="27"/>
      <c r="F41" s="27">
        <v>1442000</v>
      </c>
      <c r="G41" s="27"/>
      <c r="H41" s="27">
        <f>+'GF OS'!E37</f>
        <v>1442000</v>
      </c>
      <c r="I41" s="27"/>
      <c r="J41" s="25">
        <f>+H41-D41</f>
        <v>0</v>
      </c>
    </row>
    <row r="42" spans="1:10" ht="16" thickBot="1">
      <c r="A42" s="25" t="s">
        <v>118</v>
      </c>
      <c r="B42" s="25"/>
      <c r="C42" s="25"/>
      <c r="D42" s="30">
        <f>+D41+D39</f>
        <v>1511500</v>
      </c>
      <c r="E42" s="26"/>
      <c r="F42" s="30">
        <f>+F41+F39</f>
        <v>551535</v>
      </c>
      <c r="G42" s="26"/>
      <c r="H42" s="30">
        <f>+H41+H39</f>
        <v>1442000</v>
      </c>
      <c r="I42" s="26"/>
      <c r="J42" s="30">
        <f>+J39+J41</f>
        <v>-1229465</v>
      </c>
    </row>
    <row r="43" spans="1:10" ht="16" thickTop="1">
      <c r="A43" s="114"/>
      <c r="B43" s="114"/>
      <c r="C43" s="114"/>
      <c r="D43" s="114"/>
      <c r="E43" s="114"/>
      <c r="F43" s="114"/>
      <c r="G43" s="114"/>
      <c r="H43" s="114"/>
      <c r="I43" s="114"/>
      <c r="J43" s="114"/>
    </row>
    <row r="44" spans="1:10">
      <c r="A44" s="114"/>
      <c r="B44" s="114"/>
      <c r="C44" s="114"/>
      <c r="D44" s="114"/>
      <c r="E44" s="114"/>
      <c r="F44" s="114"/>
      <c r="G44" s="114"/>
      <c r="H44" s="114"/>
      <c r="I44" s="114"/>
      <c r="J44" s="114"/>
    </row>
    <row r="45" spans="1:10">
      <c r="A45" s="114"/>
      <c r="B45" s="114"/>
      <c r="C45" s="114"/>
      <c r="D45" s="114"/>
      <c r="E45" s="114"/>
      <c r="F45" s="114"/>
      <c r="G45" s="114"/>
      <c r="H45" s="114"/>
      <c r="I45" s="114"/>
      <c r="J45" s="114"/>
    </row>
  </sheetData>
  <mergeCells count="5">
    <mergeCell ref="A1:J1"/>
    <mergeCell ref="A2:J2"/>
    <mergeCell ref="A3:J3"/>
    <mergeCell ref="A4:J4"/>
    <mergeCell ref="A5:J5"/>
  </mergeCells>
  <printOptions horizontalCentered="1"/>
  <pageMargins left="0.2" right="0.2" top="0.75" bottom="0.75" header="0.3" footer="0.3"/>
  <pageSetup orientation="portrait"/>
  <extLst>
    <ext xmlns:mx="http://schemas.microsoft.com/office/mac/excel/2008/main" uri="{64002731-A6B0-56B0-2670-7721B7C09600}">
      <mx:PLV Mode="0" OnePage="0" WScale="0"/>
    </ext>
  </extLst>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B19"/>
  <sheetViews>
    <sheetView workbookViewId="0">
      <selection sqref="A1:B1"/>
    </sheetView>
  </sheetViews>
  <sheetFormatPr baseColWidth="10" defaultColWidth="10.5703125" defaultRowHeight="13" x14ac:dyDescent="0"/>
  <cols>
    <col min="1" max="1" width="60.5703125" style="24" customWidth="1"/>
    <col min="2" max="2" width="11.5703125" style="24" customWidth="1"/>
    <col min="3" max="16384" width="10.5703125" style="24"/>
  </cols>
  <sheetData>
    <row r="1" spans="1:2">
      <c r="A1" s="154" t="s">
        <v>484</v>
      </c>
      <c r="B1" s="154"/>
    </row>
    <row r="2" spans="1:2">
      <c r="A2" s="154" t="s">
        <v>551</v>
      </c>
      <c r="B2" s="154"/>
    </row>
    <row r="3" spans="1:2">
      <c r="A3" s="154" t="s">
        <v>552</v>
      </c>
      <c r="B3" s="154"/>
    </row>
    <row r="4" spans="1:2">
      <c r="A4" s="154" t="s">
        <v>89</v>
      </c>
      <c r="B4" s="154"/>
    </row>
    <row r="6" spans="1:2">
      <c r="A6" s="24" t="s">
        <v>553</v>
      </c>
      <c r="B6" s="78">
        <f>+'GF BS Conversion'!D55</f>
        <v>0</v>
      </c>
    </row>
    <row r="8" spans="1:2" ht="26">
      <c r="A8" s="148" t="s">
        <v>554</v>
      </c>
      <c r="B8" s="24">
        <f>+'GF BS Conversion'!H29</f>
        <v>0</v>
      </c>
    </row>
    <row r="10" spans="1:2" ht="26">
      <c r="A10" s="148" t="s">
        <v>555</v>
      </c>
      <c r="B10" s="24">
        <f>-'GF BS Conversion'!L44</f>
        <v>0</v>
      </c>
    </row>
    <row r="12" spans="1:2" ht="26">
      <c r="A12" s="148" t="s">
        <v>556</v>
      </c>
      <c r="B12" s="24">
        <f>+'GF BS Conversion'!J31</f>
        <v>0</v>
      </c>
    </row>
    <row r="14" spans="1:2" ht="39">
      <c r="A14" s="148" t="s">
        <v>557</v>
      </c>
      <c r="B14" s="24">
        <f>-SUM('GF BS Conversion'!J46:J51)-580000</f>
        <v>-580000</v>
      </c>
    </row>
    <row r="16" spans="1:2" ht="39">
      <c r="A16" s="148" t="s">
        <v>558</v>
      </c>
      <c r="B16" s="24">
        <f>+'GF BS Conversion'!F55</f>
        <v>0</v>
      </c>
    </row>
    <row r="17" spans="1:2">
      <c r="B17" s="28"/>
    </row>
    <row r="18" spans="1:2" ht="14" thickBot="1">
      <c r="A18" s="24" t="s">
        <v>559</v>
      </c>
      <c r="B18" s="69">
        <f>SUM(B6:B16)</f>
        <v>-580000</v>
      </c>
    </row>
    <row r="19" spans="1:2" ht="14" thickTop="1">
      <c r="B19" s="24">
        <f>+B18-'GW SNP'!E62</f>
        <v>0</v>
      </c>
    </row>
  </sheetData>
  <mergeCells count="4">
    <mergeCell ref="A1:B1"/>
    <mergeCell ref="A2:B2"/>
    <mergeCell ref="A3:B3"/>
    <mergeCell ref="A4:B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pageSetUpPr fitToPage="1"/>
  </sheetPr>
  <dimension ref="A1:O39"/>
  <sheetViews>
    <sheetView topLeftCell="C1" workbookViewId="0">
      <selection sqref="A1:O1"/>
    </sheetView>
  </sheetViews>
  <sheetFormatPr baseColWidth="10" defaultColWidth="8.5703125" defaultRowHeight="13" x14ac:dyDescent="0"/>
  <cols>
    <col min="1" max="1" width="22.5703125" style="24" customWidth="1"/>
    <col min="2" max="2" width="1.5703125" style="24" customWidth="1"/>
    <col min="3" max="3" width="11.5703125" style="24" customWidth="1"/>
    <col min="4" max="4" width="1.5703125" style="24" customWidth="1"/>
    <col min="5" max="5" width="10.5703125" style="24" bestFit="1" customWidth="1"/>
    <col min="6" max="6" width="1.5703125" style="24" customWidth="1"/>
    <col min="7" max="7" width="11.85546875" style="24" customWidth="1"/>
    <col min="8" max="8" width="1.5703125" style="24" customWidth="1"/>
    <col min="9" max="9" width="11.5703125" style="24" customWidth="1"/>
    <col min="10" max="10" width="1.5703125" style="24" customWidth="1"/>
    <col min="11" max="11" width="12.5703125" style="24" customWidth="1"/>
    <col min="12" max="12" width="1.5703125" style="24" customWidth="1"/>
    <col min="13" max="13" width="12.5703125" style="24" customWidth="1"/>
    <col min="14" max="14" width="1.5703125" style="24" customWidth="1"/>
    <col min="15" max="15" width="12.5703125" style="24" customWidth="1"/>
    <col min="16" max="16384" width="8.5703125" style="24"/>
  </cols>
  <sheetData>
    <row r="1" spans="1:15">
      <c r="A1" s="154" t="s">
        <v>0</v>
      </c>
      <c r="B1" s="154"/>
      <c r="C1" s="154"/>
      <c r="D1" s="154"/>
      <c r="E1" s="154"/>
      <c r="F1" s="154"/>
      <c r="G1" s="154"/>
      <c r="H1" s="154"/>
      <c r="I1" s="154"/>
      <c r="J1" s="154"/>
      <c r="K1" s="154"/>
      <c r="L1" s="154"/>
      <c r="M1" s="154"/>
      <c r="N1" s="154"/>
      <c r="O1" s="154"/>
    </row>
    <row r="2" spans="1:15">
      <c r="A2" s="154" t="s">
        <v>560</v>
      </c>
      <c r="B2" s="154"/>
      <c r="C2" s="154"/>
      <c r="D2" s="154"/>
      <c r="E2" s="154"/>
      <c r="F2" s="154"/>
      <c r="G2" s="154"/>
      <c r="H2" s="154"/>
      <c r="I2" s="154"/>
      <c r="J2" s="154"/>
      <c r="K2" s="154"/>
      <c r="L2" s="154"/>
      <c r="M2" s="154"/>
      <c r="N2" s="154"/>
      <c r="O2" s="154"/>
    </row>
    <row r="3" spans="1:15">
      <c r="A3" s="154" t="s">
        <v>59</v>
      </c>
      <c r="B3" s="154"/>
      <c r="C3" s="154"/>
      <c r="D3" s="154"/>
      <c r="E3" s="154"/>
      <c r="F3" s="154"/>
      <c r="G3" s="154"/>
      <c r="H3" s="154"/>
      <c r="I3" s="154"/>
      <c r="J3" s="154"/>
      <c r="K3" s="154"/>
      <c r="L3" s="154"/>
      <c r="M3" s="154"/>
      <c r="N3" s="154"/>
      <c r="O3" s="154"/>
    </row>
    <row r="6" spans="1:15">
      <c r="E6" s="82"/>
      <c r="F6" s="82"/>
      <c r="G6" s="149" t="s">
        <v>561</v>
      </c>
      <c r="H6" s="87"/>
      <c r="I6" s="87"/>
      <c r="J6" s="63"/>
      <c r="K6" s="82"/>
      <c r="L6" s="149"/>
      <c r="M6" s="149" t="s">
        <v>562</v>
      </c>
      <c r="N6" s="82"/>
      <c r="O6" s="82"/>
    </row>
    <row r="7" spans="1:15">
      <c r="G7" s="67"/>
      <c r="H7" s="67"/>
      <c r="I7" s="67"/>
      <c r="J7" s="67"/>
      <c r="K7" s="82"/>
      <c r="L7" s="82"/>
      <c r="M7" s="149" t="s">
        <v>531</v>
      </c>
      <c r="N7" s="82"/>
      <c r="O7" s="82"/>
    </row>
    <row r="8" spans="1:15">
      <c r="A8" s="144"/>
      <c r="B8" s="144"/>
      <c r="C8" s="144"/>
      <c r="D8" s="144"/>
      <c r="E8" s="144" t="s">
        <v>563</v>
      </c>
      <c r="F8" s="144"/>
      <c r="G8" s="144" t="s">
        <v>564</v>
      </c>
      <c r="H8" s="144"/>
      <c r="I8" s="144"/>
      <c r="J8" s="144"/>
      <c r="K8" s="144"/>
      <c r="L8" s="144"/>
      <c r="M8" s="144"/>
      <c r="N8" s="144"/>
      <c r="O8" s="144"/>
    </row>
    <row r="9" spans="1:15">
      <c r="A9" s="144"/>
      <c r="B9" s="144"/>
      <c r="C9" s="144"/>
      <c r="D9" s="144"/>
      <c r="E9" s="144" t="s">
        <v>565</v>
      </c>
      <c r="F9" s="144"/>
      <c r="G9" s="144" t="s">
        <v>566</v>
      </c>
      <c r="H9" s="144"/>
      <c r="I9" s="144" t="s">
        <v>567</v>
      </c>
      <c r="J9" s="144"/>
      <c r="K9" s="144" t="s">
        <v>417</v>
      </c>
      <c r="L9" s="144"/>
      <c r="M9" s="144" t="s">
        <v>568</v>
      </c>
      <c r="N9" s="144"/>
      <c r="O9" s="144" t="s">
        <v>569</v>
      </c>
    </row>
    <row r="10" spans="1:15">
      <c r="A10" s="88" t="s">
        <v>570</v>
      </c>
      <c r="B10" s="88"/>
      <c r="C10" s="149" t="s">
        <v>571</v>
      </c>
      <c r="D10" s="144"/>
      <c r="E10" s="149" t="s">
        <v>572</v>
      </c>
      <c r="F10" s="144"/>
      <c r="G10" s="149" t="s">
        <v>573</v>
      </c>
      <c r="H10" s="144"/>
      <c r="I10" s="149" t="s">
        <v>574</v>
      </c>
      <c r="J10" s="143"/>
      <c r="K10" s="149" t="s">
        <v>464</v>
      </c>
      <c r="L10" s="144"/>
      <c r="M10" s="149" t="s">
        <v>464</v>
      </c>
      <c r="N10" s="144"/>
      <c r="O10" s="149" t="s">
        <v>193</v>
      </c>
    </row>
    <row r="12" spans="1:15">
      <c r="A12" s="89" t="s">
        <v>575</v>
      </c>
      <c r="B12" s="89"/>
    </row>
    <row r="13" spans="1:15">
      <c r="A13" s="89" t="s">
        <v>576</v>
      </c>
      <c r="B13" s="89"/>
    </row>
    <row r="14" spans="1:15">
      <c r="A14" s="24" t="s">
        <v>70</v>
      </c>
      <c r="C14" s="93">
        <f>+'GF OS Conversion'!N21-'GF OS Conversion'!N39</f>
        <v>58000</v>
      </c>
      <c r="D14" s="78"/>
      <c r="E14" s="78">
        <v>0</v>
      </c>
      <c r="F14" s="78"/>
      <c r="G14" s="78">
        <v>0</v>
      </c>
      <c r="H14" s="78"/>
      <c r="I14" s="78">
        <v>0</v>
      </c>
      <c r="J14" s="78"/>
      <c r="K14" s="78">
        <f>-C14+SUM(E14:I14)</f>
        <v>-58000</v>
      </c>
      <c r="L14" s="78"/>
      <c r="M14" s="78">
        <v>0</v>
      </c>
      <c r="N14" s="78"/>
      <c r="O14" s="78">
        <f>+M14+K14</f>
        <v>-58000</v>
      </c>
    </row>
    <row r="15" spans="1:15">
      <c r="A15" s="24" t="s">
        <v>71</v>
      </c>
      <c r="C15" s="90">
        <f>+'GF OS Conversion'!N22</f>
        <v>160000</v>
      </c>
      <c r="E15" s="24">
        <f>+'GF OS Conversion'!N14+0.75*'GF OS Conversion'!D13</f>
        <v>0</v>
      </c>
      <c r="G15" s="38"/>
      <c r="I15" s="38">
        <v>0</v>
      </c>
      <c r="K15" s="24">
        <f t="shared" ref="K15:K21" si="0">-C15+SUM(E15:I15)</f>
        <v>-160000</v>
      </c>
      <c r="M15" s="24">
        <v>0</v>
      </c>
      <c r="O15" s="24">
        <f t="shared" ref="O15:O21" si="1">+M15+K15</f>
        <v>-160000</v>
      </c>
    </row>
    <row r="16" spans="1:15">
      <c r="A16" s="24" t="s">
        <v>72</v>
      </c>
      <c r="C16" s="90">
        <f>+'GF OS Conversion'!N23</f>
        <v>667000</v>
      </c>
      <c r="E16" s="24">
        <v>0</v>
      </c>
      <c r="G16" s="38">
        <v>0</v>
      </c>
      <c r="I16" s="38">
        <v>0</v>
      </c>
      <c r="K16" s="24">
        <f t="shared" si="0"/>
        <v>-667000</v>
      </c>
      <c r="M16" s="24">
        <v>0</v>
      </c>
      <c r="O16" s="24">
        <f t="shared" si="1"/>
        <v>-667000</v>
      </c>
    </row>
    <row r="17" spans="1:15">
      <c r="A17" s="24" t="s">
        <v>73</v>
      </c>
      <c r="C17" s="90">
        <f>+'GF OS Conversion'!N24</f>
        <v>65000</v>
      </c>
      <c r="E17" s="24">
        <f>0.25*'GF OS Conversion'!D13</f>
        <v>0</v>
      </c>
      <c r="G17" s="38">
        <v>0</v>
      </c>
      <c r="I17" s="38">
        <v>0</v>
      </c>
      <c r="K17" s="24">
        <f t="shared" si="0"/>
        <v>-65000</v>
      </c>
      <c r="M17" s="24">
        <v>0</v>
      </c>
      <c r="O17" s="24">
        <f t="shared" si="1"/>
        <v>-65000</v>
      </c>
    </row>
    <row r="18" spans="1:15">
      <c r="A18" s="24" t="s">
        <v>74</v>
      </c>
      <c r="C18" s="90">
        <f>+'GF OS Conversion'!N25</f>
        <v>37000</v>
      </c>
      <c r="G18" s="38">
        <v>0</v>
      </c>
      <c r="I18" s="38"/>
      <c r="K18" s="24">
        <f t="shared" si="0"/>
        <v>-37000</v>
      </c>
      <c r="M18" s="24">
        <v>0</v>
      </c>
      <c r="O18" s="24">
        <f t="shared" si="1"/>
        <v>-37000</v>
      </c>
    </row>
    <row r="19" spans="1:15">
      <c r="C19" s="90"/>
      <c r="G19" s="38"/>
      <c r="I19" s="38"/>
    </row>
    <row r="20" spans="1:15">
      <c r="C20" s="90"/>
      <c r="G20" s="38"/>
      <c r="I20" s="38"/>
    </row>
    <row r="21" spans="1:15">
      <c r="A21" s="24" t="s">
        <v>166</v>
      </c>
      <c r="C21" s="38">
        <f>+'GF OS Conversion'!N31</f>
        <v>-3330</v>
      </c>
      <c r="E21" s="24">
        <v>0</v>
      </c>
      <c r="G21" s="38">
        <v>0</v>
      </c>
      <c r="I21" s="38">
        <v>0</v>
      </c>
      <c r="K21" s="24">
        <f t="shared" si="0"/>
        <v>3330</v>
      </c>
      <c r="M21" s="24">
        <v>0</v>
      </c>
      <c r="O21" s="24">
        <f t="shared" si="1"/>
        <v>3330</v>
      </c>
    </row>
    <row r="22" spans="1:15">
      <c r="A22" s="34" t="s">
        <v>577</v>
      </c>
      <c r="B22" s="34"/>
      <c r="C22" s="29">
        <f>SUM(C14:C21)</f>
        <v>983670</v>
      </c>
      <c r="E22" s="29">
        <f>SUM(E14:E21)</f>
        <v>0</v>
      </c>
      <c r="G22" s="29">
        <f>SUM(G14:G21)</f>
        <v>0</v>
      </c>
      <c r="I22" s="29">
        <f>SUM(I14:I21)</f>
        <v>0</v>
      </c>
      <c r="K22" s="29">
        <f>SUM(K14:K21)</f>
        <v>-983670</v>
      </c>
      <c r="M22" s="29">
        <f>SUM(M14:M21)</f>
        <v>0</v>
      </c>
      <c r="O22" s="29">
        <f>SUM(O14:O21)</f>
        <v>-983670</v>
      </c>
    </row>
    <row r="23" spans="1:15">
      <c r="C23" s="38"/>
    </row>
    <row r="24" spans="1:15">
      <c r="A24" s="89" t="s">
        <v>578</v>
      </c>
      <c r="B24" s="89"/>
      <c r="C24" s="38"/>
    </row>
    <row r="25" spans="1:15">
      <c r="A25" s="24" t="s">
        <v>579</v>
      </c>
      <c r="C25" s="38">
        <f>+'W&amp;S OS'!E15-'W&amp;S OS'!C21</f>
        <v>0</v>
      </c>
      <c r="E25" s="38">
        <f>+'W&amp;S OS'!E8</f>
        <v>0</v>
      </c>
      <c r="G25" s="38">
        <v>0</v>
      </c>
      <c r="I25" s="38">
        <v>0</v>
      </c>
      <c r="K25" s="24">
        <v>0</v>
      </c>
      <c r="M25" s="76">
        <f>-C25+SUM(E25:I25)</f>
        <v>0</v>
      </c>
      <c r="O25" s="24">
        <f t="shared" ref="O25" si="2">+M25+K25</f>
        <v>0</v>
      </c>
    </row>
    <row r="26" spans="1:15">
      <c r="A26" s="91"/>
      <c r="B26" s="91"/>
      <c r="C26" s="28"/>
      <c r="E26" s="28"/>
      <c r="G26" s="28"/>
      <c r="I26" s="28"/>
      <c r="K26" s="28"/>
      <c r="M26" s="29"/>
      <c r="O26" s="29"/>
    </row>
    <row r="27" spans="1:15" ht="14" thickBot="1">
      <c r="A27" s="34" t="s">
        <v>580</v>
      </c>
      <c r="B27" s="34"/>
      <c r="C27" s="69">
        <f>+C25+C22</f>
        <v>983670</v>
      </c>
      <c r="D27" s="39"/>
      <c r="E27" s="69">
        <f>+E25+E22</f>
        <v>0</v>
      </c>
      <c r="F27" s="39"/>
      <c r="G27" s="69">
        <f>+G25+G22</f>
        <v>0</v>
      </c>
      <c r="H27" s="39"/>
      <c r="I27" s="69">
        <f>+I25+I22</f>
        <v>0</v>
      </c>
      <c r="K27" s="92">
        <f>+K25+K22</f>
        <v>-983670</v>
      </c>
      <c r="L27" s="25"/>
      <c r="M27" s="92">
        <f>+M25+M22</f>
        <v>0</v>
      </c>
      <c r="N27" s="27"/>
      <c r="O27" s="92">
        <f>+O25+O22</f>
        <v>-983670</v>
      </c>
    </row>
    <row r="28" spans="1:15" ht="14" thickTop="1">
      <c r="A28" s="91"/>
      <c r="B28" s="91"/>
    </row>
    <row r="29" spans="1:15">
      <c r="A29" s="91"/>
      <c r="B29" s="91"/>
    </row>
    <row r="30" spans="1:15">
      <c r="E30" s="67" t="s">
        <v>581</v>
      </c>
    </row>
    <row r="31" spans="1:15">
      <c r="E31" s="24" t="s">
        <v>582</v>
      </c>
      <c r="K31" s="24">
        <f>+'GF OS Conversion'!N11+'GF OS Conversion'!N12</f>
        <v>2000</v>
      </c>
      <c r="M31" s="24">
        <v>0</v>
      </c>
      <c r="O31" s="24">
        <f>+K31+M31</f>
        <v>2000</v>
      </c>
    </row>
    <row r="32" spans="1:15">
      <c r="E32" s="24" t="s">
        <v>583</v>
      </c>
      <c r="K32" s="24">
        <f>+'GF OS Conversion'!N15-'GW SoA'!G22-'GW SoA'!I22+62000</f>
        <v>62000</v>
      </c>
      <c r="M32" s="24">
        <v>0</v>
      </c>
      <c r="O32" s="24">
        <f>+K32+M32</f>
        <v>62000</v>
      </c>
    </row>
    <row r="33" spans="5:15">
      <c r="E33" s="24" t="s">
        <v>584</v>
      </c>
      <c r="K33" s="24">
        <f>+'GF OS Conversion'!N16-62000</f>
        <v>-62000</v>
      </c>
      <c r="M33" s="24">
        <f>+'W&amp;S OS'!C20</f>
        <v>0</v>
      </c>
      <c r="O33" s="24">
        <f>+K33+M33</f>
        <v>-62000</v>
      </c>
    </row>
    <row r="34" spans="5:15">
      <c r="E34" s="24" t="s">
        <v>585</v>
      </c>
      <c r="K34" s="24">
        <f>+'GF OS Conversion'!N38</f>
        <v>0</v>
      </c>
      <c r="M34" s="24">
        <f>+'W&amp;S OS'!E25</f>
        <v>0</v>
      </c>
      <c r="O34" s="38">
        <f>+K34+M34</f>
        <v>0</v>
      </c>
    </row>
    <row r="35" spans="5:15">
      <c r="E35" s="24" t="s">
        <v>586</v>
      </c>
      <c r="K35" s="37">
        <f>SUM(K31:K34)</f>
        <v>2000</v>
      </c>
      <c r="M35" s="37">
        <f>SUM(M31:M34)</f>
        <v>0</v>
      </c>
      <c r="O35" s="37">
        <f>SUM(O31:O34)</f>
        <v>2000</v>
      </c>
    </row>
    <row r="36" spans="5:15">
      <c r="E36" s="67" t="s">
        <v>190</v>
      </c>
      <c r="K36" s="24">
        <f>K27+K35</f>
        <v>-981670</v>
      </c>
      <c r="M36" s="24">
        <f>M27+M35</f>
        <v>0</v>
      </c>
      <c r="O36" s="24">
        <f>O27+O35</f>
        <v>-981670</v>
      </c>
    </row>
    <row r="37" spans="5:15">
      <c r="E37" s="67" t="s">
        <v>289</v>
      </c>
      <c r="K37" s="24">
        <f>+K38-K36</f>
        <v>401670</v>
      </c>
      <c r="M37" s="91">
        <f>+'W&amp;S EF'!E52</f>
        <v>2519400</v>
      </c>
      <c r="O37" s="24">
        <f>+K37+M37</f>
        <v>2921070</v>
      </c>
    </row>
    <row r="38" spans="5:15" ht="14" thickBot="1">
      <c r="E38" s="67" t="s">
        <v>290</v>
      </c>
      <c r="K38" s="30">
        <f>+'GW SNP'!E62</f>
        <v>-580000</v>
      </c>
      <c r="L38" s="39"/>
      <c r="M38" s="30">
        <f>SUM(M36:M37)</f>
        <v>2519400</v>
      </c>
      <c r="N38" s="39"/>
      <c r="O38" s="30">
        <f>SUM(O36:O37)</f>
        <v>1939400</v>
      </c>
    </row>
    <row r="39" spans="5:15" ht="14" thickTop="1"/>
  </sheetData>
  <mergeCells count="3">
    <mergeCell ref="A1:O1"/>
    <mergeCell ref="A2:O2"/>
    <mergeCell ref="A3:O3"/>
  </mergeCells>
  <pageMargins left="0.7" right="0.7" top="0.75" bottom="0.75" header="0.3" footer="0.3"/>
  <pageSetup scale="85" orientation="landscape"/>
  <extLst>
    <ext xmlns:mx="http://schemas.microsoft.com/office/mac/excel/2008/main" uri="{64002731-A6B0-56B0-2670-7721B7C09600}">
      <mx:PLV Mode="0" OnePage="0" WScale="0"/>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7030A0"/>
  </sheetPr>
  <dimension ref="A1:B24"/>
  <sheetViews>
    <sheetView workbookViewId="0">
      <selection activeCell="A21" sqref="A21"/>
    </sheetView>
  </sheetViews>
  <sheetFormatPr baseColWidth="10" defaultColWidth="8.5703125" defaultRowHeight="13" x14ac:dyDescent="0"/>
  <cols>
    <col min="1" max="1" width="60.5703125" style="24" customWidth="1"/>
    <col min="2" max="2" width="11.5703125" style="24" customWidth="1"/>
    <col min="3" max="16384" width="8.5703125" style="24"/>
  </cols>
  <sheetData>
    <row r="1" spans="1:2">
      <c r="A1" s="154" t="s">
        <v>56</v>
      </c>
      <c r="B1" s="154"/>
    </row>
    <row r="2" spans="1:2">
      <c r="A2" s="154" t="s">
        <v>587</v>
      </c>
      <c r="B2" s="154"/>
    </row>
    <row r="3" spans="1:2">
      <c r="A3" s="154" t="s">
        <v>588</v>
      </c>
      <c r="B3" s="154"/>
    </row>
    <row r="4" spans="1:2">
      <c r="A4" s="154" t="s">
        <v>59</v>
      </c>
      <c r="B4" s="154"/>
    </row>
    <row r="6" spans="1:2">
      <c r="A6" s="24" t="s">
        <v>589</v>
      </c>
      <c r="B6" s="78">
        <f>+'GF OS Conversion'!D50</f>
        <v>0</v>
      </c>
    </row>
    <row r="8" spans="1:2" ht="26">
      <c r="A8" s="94" t="s">
        <v>590</v>
      </c>
      <c r="B8" s="24">
        <f>+'Gov Fund OS'!L27-'GCA-GLTL'!J14-'GCA-GLTL'!J19-'GCA-GLTL'!J23</f>
        <v>-987000</v>
      </c>
    </row>
    <row r="9" spans="1:2" ht="26">
      <c r="A9" s="148" t="s">
        <v>591</v>
      </c>
    </row>
    <row r="11" spans="1:2" ht="26">
      <c r="A11" s="148" t="s">
        <v>592</v>
      </c>
    </row>
    <row r="12" spans="1:2" ht="26">
      <c r="A12" s="148" t="s">
        <v>593</v>
      </c>
      <c r="B12" s="24">
        <f>+'CGA Note'!G26</f>
        <v>0</v>
      </c>
    </row>
    <row r="14" spans="1:2" ht="26">
      <c r="A14" s="148" t="s">
        <v>594</v>
      </c>
      <c r="B14" s="24">
        <f>+'GF OS Conversion'!L11+'GF OS Conversion'!L12</f>
        <v>2000</v>
      </c>
    </row>
    <row r="16" spans="1:2" ht="26">
      <c r="A16" s="148" t="s">
        <v>595</v>
      </c>
    </row>
    <row r="17" spans="1:2" ht="26">
      <c r="A17" s="148" t="s">
        <v>596</v>
      </c>
      <c r="B17" s="24">
        <f>SUM('GF OS Conversion'!J40:J44)-'GF OS Conversion'!J30-'GF OS Conversion'!J33</f>
        <v>0</v>
      </c>
    </row>
    <row r="19" spans="1:2" ht="26">
      <c r="A19" s="148" t="s">
        <v>597</v>
      </c>
      <c r="B19" s="24">
        <f>-'GF OS Conversion'!L31</f>
        <v>3330</v>
      </c>
    </row>
    <row r="21" spans="1:2" ht="26">
      <c r="A21" s="148" t="s">
        <v>598</v>
      </c>
      <c r="B21" s="24">
        <f>-'GF OS Conversion'!J24-'GF OS Conversion'!J25</f>
        <v>0</v>
      </c>
    </row>
    <row r="22" spans="1:2">
      <c r="B22" s="28"/>
    </row>
    <row r="23" spans="1:2" ht="14" thickBot="1">
      <c r="A23" s="24" t="s">
        <v>599</v>
      </c>
      <c r="B23" s="69">
        <f>SUM(B6:B21)</f>
        <v>-981670</v>
      </c>
    </row>
    <row r="24" spans="1:2" ht="14" thickTop="1"/>
  </sheetData>
  <mergeCells count="4">
    <mergeCell ref="A1:B1"/>
    <mergeCell ref="A2:B2"/>
    <mergeCell ref="A3:B3"/>
    <mergeCell ref="A4:B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pageSetUpPr fitToPage="1"/>
  </sheetPr>
  <dimension ref="A1:X42"/>
  <sheetViews>
    <sheetView workbookViewId="0">
      <selection activeCell="B1" sqref="B1"/>
    </sheetView>
  </sheetViews>
  <sheetFormatPr baseColWidth="10" defaultColWidth="9.5703125" defaultRowHeight="13" x14ac:dyDescent="0"/>
  <cols>
    <col min="1" max="1" width="3.5703125" style="3" customWidth="1"/>
    <col min="2" max="2" width="30.5703125" style="3" customWidth="1"/>
    <col min="3" max="3" width="9.5703125" style="3" customWidth="1"/>
    <col min="4" max="4" width="1.5703125" style="3" customWidth="1"/>
    <col min="5" max="5" width="9.5703125" style="4" customWidth="1"/>
    <col min="6" max="6" width="1.5703125" style="4" customWidth="1"/>
    <col min="7" max="7" width="4.5703125" style="4" customWidth="1"/>
    <col min="8" max="8" width="9.5703125" style="4" customWidth="1"/>
    <col min="9" max="9" width="1.5703125" style="4" customWidth="1"/>
    <col min="10" max="10" width="9.5703125" style="4" customWidth="1"/>
    <col min="11" max="11" width="4.5703125" style="4" customWidth="1"/>
    <col min="12" max="12" width="1.5703125" style="4" customWidth="1"/>
    <col min="13" max="13" width="0" style="4" hidden="1" customWidth="1"/>
    <col min="14" max="14" width="9.5703125" style="4" customWidth="1"/>
    <col min="15" max="15" width="1.5703125" style="4" customWidth="1"/>
    <col min="16" max="16" width="9.5703125" style="4" customWidth="1"/>
    <col min="17" max="17" width="1.5703125" style="4" customWidth="1"/>
    <col min="18" max="18" width="9.5703125" style="4" customWidth="1"/>
    <col min="19" max="19" width="2.5703125" style="3" customWidth="1"/>
    <col min="20" max="20" width="9.5703125" style="3" customWidth="1"/>
    <col min="21" max="21" width="1.5703125" style="3" customWidth="1"/>
    <col min="22" max="22" width="9.5703125" style="3" customWidth="1"/>
    <col min="23" max="23" width="2.5703125" style="3" customWidth="1"/>
    <col min="24" max="24" width="9.5703125" style="3" customWidth="1"/>
    <col min="25" max="16384" width="9.5703125" style="3"/>
  </cols>
  <sheetData>
    <row r="1" spans="1:24">
      <c r="A1" s="1" t="str">
        <f>+'GF WS'!A1:X1</f>
        <v>City of Springfield</v>
      </c>
      <c r="B1" s="1"/>
      <c r="C1" s="1"/>
      <c r="D1" s="1"/>
      <c r="E1" s="2"/>
      <c r="F1" s="2"/>
      <c r="G1" s="2"/>
      <c r="H1" s="2"/>
      <c r="I1" s="2"/>
      <c r="J1" s="2"/>
      <c r="K1" s="2"/>
      <c r="L1" s="2"/>
      <c r="M1" s="2"/>
      <c r="N1" s="2"/>
      <c r="O1" s="2"/>
      <c r="P1" s="2"/>
      <c r="Q1" s="2"/>
      <c r="R1" s="2"/>
      <c r="S1" s="1"/>
      <c r="T1" s="1"/>
      <c r="U1" s="1"/>
      <c r="V1" s="1"/>
      <c r="W1" s="1"/>
      <c r="X1" s="1"/>
    </row>
    <row r="2" spans="1:24">
      <c r="A2" s="1" t="s">
        <v>119</v>
      </c>
      <c r="B2" s="1"/>
      <c r="C2" s="1"/>
      <c r="D2" s="1"/>
      <c r="E2" s="2"/>
      <c r="F2" s="2"/>
      <c r="G2" s="2"/>
      <c r="H2" s="2"/>
      <c r="I2" s="2"/>
      <c r="J2" s="2"/>
      <c r="K2" s="2"/>
      <c r="L2" s="2"/>
      <c r="M2" s="2"/>
      <c r="N2" s="2"/>
      <c r="O2" s="2"/>
      <c r="P2" s="2"/>
      <c r="Q2" s="2"/>
      <c r="R2" s="2"/>
      <c r="S2" s="1"/>
      <c r="T2" s="1"/>
      <c r="U2" s="1"/>
      <c r="V2" s="1"/>
      <c r="W2" s="1"/>
      <c r="X2" s="1"/>
    </row>
    <row r="3" spans="1:24">
      <c r="A3" s="1" t="s">
        <v>2</v>
      </c>
      <c r="B3" s="1"/>
      <c r="C3" s="1"/>
      <c r="D3" s="1"/>
      <c r="E3" s="2"/>
      <c r="F3" s="2"/>
      <c r="G3" s="2"/>
      <c r="H3" s="2"/>
      <c r="I3" s="2"/>
      <c r="J3" s="2"/>
      <c r="K3" s="2"/>
      <c r="L3" s="2"/>
      <c r="M3" s="2"/>
      <c r="N3" s="2"/>
      <c r="O3" s="2"/>
      <c r="P3" s="2"/>
      <c r="Q3" s="2"/>
      <c r="R3" s="2"/>
      <c r="S3" s="1"/>
      <c r="T3" s="1"/>
      <c r="U3" s="1"/>
      <c r="V3" s="1"/>
      <c r="W3" s="1"/>
      <c r="X3" s="1"/>
    </row>
    <row r="4" spans="1:24">
      <c r="A4" s="3" t="s">
        <v>120</v>
      </c>
      <c r="C4" s="3">
        <f>IF(C39&gt;E39,0,+E39-C39)</f>
        <v>0</v>
      </c>
      <c r="E4" s="3">
        <f>IF(E39&gt;C39,0,+C39-E39)</f>
        <v>0</v>
      </c>
      <c r="F4" s="3"/>
      <c r="G4" s="3"/>
      <c r="H4" s="3">
        <f>IF(H39&gt;J39,0,+J39-H39)</f>
        <v>0</v>
      </c>
      <c r="I4" s="3"/>
      <c r="J4" s="3">
        <f>IF(J39&gt;H39,0,+H39-J39)</f>
        <v>0</v>
      </c>
      <c r="K4" s="3"/>
      <c r="L4" s="3"/>
      <c r="M4" s="3"/>
      <c r="N4" s="3">
        <f>IF(N39&gt;P39,0,+P39-N39)</f>
        <v>0</v>
      </c>
      <c r="O4" s="3"/>
      <c r="P4" s="3">
        <f>IF(P39&gt;N39,0,+N39-P39)</f>
        <v>0</v>
      </c>
      <c r="Q4" s="3"/>
      <c r="R4" s="3">
        <f>IF(R41&gt;T41,0,+T41-R41)</f>
        <v>0</v>
      </c>
      <c r="T4" s="3">
        <f>IF(T41&gt;R41,0,+R41-T41)</f>
        <v>0</v>
      </c>
      <c r="V4" s="3">
        <f>IF(V41&gt;X41,0,+X41-V41)</f>
        <v>0</v>
      </c>
      <c r="X4" s="3">
        <f>IF(X41&gt;V41,0,+V41-X41)</f>
        <v>0</v>
      </c>
    </row>
    <row r="5" spans="1:24" ht="5" customHeight="1"/>
    <row r="6" spans="1:24">
      <c r="C6" s="1" t="s">
        <v>4</v>
      </c>
      <c r="D6" s="1"/>
      <c r="E6" s="2"/>
      <c r="N6" s="2" t="s">
        <v>4</v>
      </c>
      <c r="O6" s="2"/>
      <c r="P6" s="2"/>
      <c r="V6" s="1"/>
      <c r="W6" s="1"/>
      <c r="X6" s="1"/>
    </row>
    <row r="7" spans="1:24">
      <c r="C7" s="1" t="s">
        <v>5</v>
      </c>
      <c r="D7" s="1"/>
      <c r="E7" s="2"/>
      <c r="G7" s="2" t="s">
        <v>6</v>
      </c>
      <c r="H7" s="2"/>
      <c r="I7" s="2"/>
      <c r="J7" s="2"/>
      <c r="K7" s="2"/>
      <c r="N7" s="2" t="s">
        <v>7</v>
      </c>
      <c r="O7" s="2"/>
      <c r="P7" s="2"/>
      <c r="R7" s="2" t="s">
        <v>8</v>
      </c>
      <c r="S7" s="1"/>
      <c r="T7" s="1"/>
      <c r="V7" s="1" t="s">
        <v>9</v>
      </c>
      <c r="W7" s="1"/>
      <c r="X7" s="1"/>
    </row>
    <row r="8" spans="1:24">
      <c r="A8" s="5"/>
      <c r="B8" s="17" t="s">
        <v>10</v>
      </c>
      <c r="C8" s="6" t="s">
        <v>11</v>
      </c>
      <c r="D8" s="7"/>
      <c r="E8" s="8" t="s">
        <v>12</v>
      </c>
      <c r="G8" s="8" t="s">
        <v>13</v>
      </c>
      <c r="H8" s="9" t="s">
        <v>11</v>
      </c>
      <c r="I8" s="10"/>
      <c r="J8" s="8" t="s">
        <v>12</v>
      </c>
      <c r="K8" s="8" t="s">
        <v>13</v>
      </c>
      <c r="N8" s="8" t="s">
        <v>11</v>
      </c>
      <c r="O8" s="10"/>
      <c r="P8" s="8" t="s">
        <v>12</v>
      </c>
      <c r="R8" s="8" t="s">
        <v>11</v>
      </c>
      <c r="S8" s="7">
        <v>2</v>
      </c>
      <c r="T8" s="11" t="s">
        <v>12</v>
      </c>
      <c r="V8" s="6" t="s">
        <v>11</v>
      </c>
      <c r="W8" s="7">
        <v>1</v>
      </c>
      <c r="X8" s="6" t="s">
        <v>12</v>
      </c>
    </row>
    <row r="9" spans="1:24">
      <c r="A9" s="3">
        <v>1</v>
      </c>
      <c r="B9" s="3" t="s">
        <v>14</v>
      </c>
      <c r="C9" s="7"/>
      <c r="E9" s="10"/>
      <c r="G9" s="8">
        <v>4</v>
      </c>
      <c r="H9" s="10">
        <v>500000</v>
      </c>
      <c r="I9" s="141"/>
      <c r="J9" s="10">
        <v>430000</v>
      </c>
      <c r="K9" s="8">
        <v>5</v>
      </c>
      <c r="M9" s="4">
        <f>C9-E9+SUM(H9:H12)-SUM(J9:J12)</f>
        <v>330000</v>
      </c>
      <c r="N9" s="10">
        <f>IF(M9&gt;0,+M9,0)</f>
        <v>330000</v>
      </c>
      <c r="P9" s="10">
        <f>IF(M9&lt;0,-M9,0)</f>
        <v>0</v>
      </c>
      <c r="R9" s="10">
        <f>IF($A9=$S$8,+N9,0)</f>
        <v>0</v>
      </c>
      <c r="T9" s="7">
        <f>IF($A9=$S$8,+P9,0)</f>
        <v>0</v>
      </c>
      <c r="V9" s="7">
        <f>IF($A9=$W$8,+N9,0)</f>
        <v>330000</v>
      </c>
      <c r="X9" s="7">
        <f>IF($A9=$W$8,+P9,0)</f>
        <v>0</v>
      </c>
    </row>
    <row r="10" spans="1:24">
      <c r="C10" s="146"/>
      <c r="E10" s="16"/>
      <c r="G10" s="19">
        <v>6</v>
      </c>
      <c r="H10" s="16">
        <v>450000</v>
      </c>
      <c r="I10" s="141"/>
      <c r="J10" s="16">
        <v>250000</v>
      </c>
      <c r="K10" s="19">
        <v>8</v>
      </c>
      <c r="N10" s="16"/>
      <c r="P10" s="16"/>
      <c r="R10" s="16"/>
      <c r="T10" s="146"/>
      <c r="V10" s="146"/>
      <c r="X10" s="146"/>
    </row>
    <row r="11" spans="1:24">
      <c r="C11" s="146"/>
      <c r="E11" s="16"/>
      <c r="G11" s="19">
        <v>9</v>
      </c>
      <c r="H11" s="16">
        <v>60000</v>
      </c>
      <c r="I11" s="141"/>
      <c r="J11" s="16"/>
      <c r="K11" s="19"/>
      <c r="N11" s="16"/>
      <c r="P11" s="16"/>
      <c r="R11" s="16"/>
      <c r="T11" s="146"/>
      <c r="V11" s="146"/>
      <c r="X11" s="146"/>
    </row>
    <row r="12" spans="1:24" ht="5" customHeight="1">
      <c r="B12" s="18"/>
      <c r="C12" s="18"/>
      <c r="D12" s="18"/>
      <c r="E12" s="18"/>
      <c r="G12" s="141"/>
      <c r="I12" s="141"/>
      <c r="K12" s="141"/>
    </row>
    <row r="13" spans="1:24">
      <c r="A13" s="3">
        <v>1</v>
      </c>
      <c r="B13" s="3" t="s">
        <v>121</v>
      </c>
      <c r="G13" s="141">
        <v>7</v>
      </c>
      <c r="H13" s="4">
        <v>50000</v>
      </c>
      <c r="I13" s="141"/>
      <c r="K13" s="141"/>
      <c r="M13" s="4">
        <f>C13-E13+SUM(H13:H14)-SUM(J13:J14)</f>
        <v>50000</v>
      </c>
      <c r="N13" s="4">
        <f>IF(M13&gt;0,+M13,0)</f>
        <v>50000</v>
      </c>
      <c r="P13" s="4">
        <f>IF(M13&lt;0,-M13,0)</f>
        <v>0</v>
      </c>
      <c r="R13" s="4">
        <f>IF($A13=$S$8,+N13,0)</f>
        <v>0</v>
      </c>
      <c r="T13" s="3">
        <f>IF($A13=$S$8,+P13,0)</f>
        <v>0</v>
      </c>
      <c r="V13" s="3">
        <f>IF($A13=$W$8,+N13,0)</f>
        <v>50000</v>
      </c>
      <c r="X13" s="3">
        <f>IF($A13=$W$8,+P13,0)</f>
        <v>0</v>
      </c>
    </row>
    <row r="14" spans="1:24" ht="5" customHeight="1">
      <c r="B14" s="18"/>
      <c r="C14" s="18"/>
      <c r="D14" s="18"/>
      <c r="E14" s="18"/>
      <c r="G14" s="141"/>
      <c r="I14" s="141"/>
      <c r="K14" s="141"/>
    </row>
    <row r="15" spans="1:24">
      <c r="A15" s="3">
        <v>1</v>
      </c>
      <c r="B15" s="3" t="s">
        <v>25</v>
      </c>
      <c r="G15" s="141">
        <v>5</v>
      </c>
      <c r="H15" s="4">
        <v>430000</v>
      </c>
      <c r="I15" s="141"/>
      <c r="J15" s="4">
        <v>450000</v>
      </c>
      <c r="K15" s="141">
        <v>3</v>
      </c>
      <c r="M15" s="4">
        <f>C15-E15+SUM(H15:H17)-SUM(J15:J17)</f>
        <v>-95000</v>
      </c>
      <c r="N15" s="4">
        <f>IF(M15&gt;0,+M15,0)</f>
        <v>0</v>
      </c>
      <c r="P15" s="4">
        <f>IF(M15&lt;0,-M15,0)</f>
        <v>95000</v>
      </c>
      <c r="R15" s="4">
        <f>IF($A15=$S$8,+N15,0)</f>
        <v>0</v>
      </c>
      <c r="T15" s="3">
        <f>IF($A15=$S$8,+P15,0)</f>
        <v>0</v>
      </c>
      <c r="V15" s="3">
        <f>IF($A15=$W$8,+N15,0)</f>
        <v>0</v>
      </c>
      <c r="X15" s="3">
        <f>IF($A15=$W$8,+P15,0)</f>
        <v>95000</v>
      </c>
    </row>
    <row r="16" spans="1:24">
      <c r="G16" s="141"/>
      <c r="I16" s="141"/>
      <c r="J16" s="4">
        <v>75000</v>
      </c>
      <c r="K16" s="141">
        <v>7</v>
      </c>
    </row>
    <row r="17" spans="1:24" ht="5" customHeight="1">
      <c r="B17" s="18"/>
      <c r="C17" s="18"/>
      <c r="D17" s="18"/>
      <c r="E17" s="18"/>
      <c r="G17" s="141"/>
      <c r="I17" s="141"/>
      <c r="K17" s="141"/>
    </row>
    <row r="18" spans="1:24">
      <c r="A18" s="3">
        <v>1</v>
      </c>
      <c r="B18" s="3" t="s">
        <v>122</v>
      </c>
      <c r="G18" s="141">
        <v>8</v>
      </c>
      <c r="H18" s="4">
        <v>250000</v>
      </c>
      <c r="I18" s="141"/>
      <c r="J18" s="4">
        <v>500000</v>
      </c>
      <c r="K18" s="141">
        <v>4</v>
      </c>
      <c r="M18" s="4">
        <f>C18-E18+SUM(H18:H19)-SUM(J18:J19)</f>
        <v>-250000</v>
      </c>
      <c r="N18" s="4">
        <f>IF(M18&gt;0,+M18,0)</f>
        <v>0</v>
      </c>
      <c r="P18" s="4">
        <f>IF(M18&lt;0,-M18,0)</f>
        <v>250000</v>
      </c>
      <c r="R18" s="4">
        <f>IF($A18=$S$8,+N18,0)</f>
        <v>0</v>
      </c>
      <c r="T18" s="3">
        <f>IF($A18=$S$8,+P18,0)</f>
        <v>0</v>
      </c>
      <c r="V18" s="3">
        <f>IF($A18=$W$8,+N18,0)</f>
        <v>0</v>
      </c>
      <c r="X18" s="3">
        <f>IF($A18=$W$8,+P18,0)</f>
        <v>250000</v>
      </c>
    </row>
    <row r="19" spans="1:24" ht="5" customHeight="1">
      <c r="B19" s="18"/>
      <c r="C19" s="18"/>
      <c r="D19" s="18"/>
      <c r="E19" s="18"/>
      <c r="G19" s="141"/>
      <c r="I19" s="141"/>
      <c r="K19" s="141"/>
    </row>
    <row r="20" spans="1:24">
      <c r="A20" s="3">
        <v>1</v>
      </c>
      <c r="B20" s="3" t="s">
        <v>29</v>
      </c>
      <c r="G20" s="141"/>
      <c r="I20" s="141"/>
      <c r="K20" s="141"/>
      <c r="M20" s="4">
        <f>C20-E20+SUM(H20:H21)-SUM(J20:J21)</f>
        <v>0</v>
      </c>
      <c r="N20" s="4">
        <f>IF(M20&gt;0,+M20,0)</f>
        <v>0</v>
      </c>
      <c r="P20" s="4">
        <f>IF(M20&lt;0,-M20,0)</f>
        <v>0</v>
      </c>
      <c r="R20" s="4">
        <f>IF($A20=$S$8,+N20,0)</f>
        <v>0</v>
      </c>
      <c r="T20" s="3">
        <f>IF($A20=$S$8,+P20,0)</f>
        <v>0</v>
      </c>
      <c r="V20" s="3">
        <f>IF($A20=$W$8,+N20,0)</f>
        <v>0</v>
      </c>
      <c r="X20" s="3">
        <f>IF($A20=$W$8,+P20,0)</f>
        <v>0</v>
      </c>
    </row>
    <row r="21" spans="1:24" ht="5" customHeight="1">
      <c r="B21" s="18"/>
      <c r="C21" s="18"/>
      <c r="D21" s="18"/>
      <c r="E21" s="18"/>
      <c r="G21" s="141"/>
      <c r="I21" s="141"/>
      <c r="K21" s="141"/>
    </row>
    <row r="22" spans="1:24">
      <c r="B22" s="3" t="s">
        <v>30</v>
      </c>
      <c r="G22" s="141">
        <v>1</v>
      </c>
      <c r="H22" s="4">
        <v>530000</v>
      </c>
      <c r="I22" s="141"/>
      <c r="J22" s="4">
        <v>530000</v>
      </c>
      <c r="K22" s="141">
        <v>10</v>
      </c>
      <c r="M22" s="4">
        <f>C22-E22+SUM(H22:H23)-SUM(J22:J23)</f>
        <v>0</v>
      </c>
      <c r="N22" s="4">
        <f>IF(M22&gt;0,+M22,0)</f>
        <v>0</v>
      </c>
      <c r="P22" s="4">
        <f>IF(M22&lt;0,-M22,0)</f>
        <v>0</v>
      </c>
      <c r="R22" s="4">
        <f>IF($A22=$S$8,+N22,0)</f>
        <v>0</v>
      </c>
      <c r="T22" s="3">
        <f>IF($A22=$S$8,+P22,0)</f>
        <v>0</v>
      </c>
      <c r="V22" s="3">
        <f>IF($A22=$W$8,+N22,0)</f>
        <v>0</v>
      </c>
      <c r="X22" s="3">
        <f>IF($A22=$W$8,+P22,0)</f>
        <v>0</v>
      </c>
    </row>
    <row r="23" spans="1:24" ht="5" customHeight="1">
      <c r="B23" s="18"/>
      <c r="C23" s="18"/>
      <c r="D23" s="18"/>
      <c r="E23" s="18"/>
      <c r="G23" s="141"/>
      <c r="I23" s="141"/>
      <c r="K23" s="141"/>
    </row>
    <row r="24" spans="1:24">
      <c r="B24" s="3" t="s">
        <v>31</v>
      </c>
      <c r="G24" s="141">
        <v>10</v>
      </c>
      <c r="H24" s="4">
        <v>525000</v>
      </c>
      <c r="I24" s="141"/>
      <c r="J24" s="4">
        <v>525000</v>
      </c>
      <c r="K24" s="141">
        <v>1</v>
      </c>
      <c r="M24" s="4">
        <f>C24-E24+SUM(H24:H25)-SUM(J24:J25)</f>
        <v>0</v>
      </c>
      <c r="N24" s="4">
        <f>IF(M24&gt;0,+M24,0)</f>
        <v>0</v>
      </c>
      <c r="P24" s="4">
        <f>IF(M24&lt;0,-M24,0)</f>
        <v>0</v>
      </c>
      <c r="R24" s="4">
        <f>IF($A24=$S$8,+N24,0)</f>
        <v>0</v>
      </c>
      <c r="T24" s="3">
        <f>IF($A24=$S$8,+P24,0)</f>
        <v>0</v>
      </c>
      <c r="V24" s="3">
        <f>IF($A24=$W$8,+N24,0)</f>
        <v>0</v>
      </c>
      <c r="X24" s="3">
        <f>IF($A24=$W$8,+P24,0)</f>
        <v>0</v>
      </c>
    </row>
    <row r="25" spans="1:24" ht="5" customHeight="1">
      <c r="B25" s="18"/>
      <c r="C25" s="18"/>
      <c r="D25" s="18"/>
      <c r="E25" s="18"/>
      <c r="G25" s="141"/>
      <c r="I25" s="141"/>
      <c r="K25" s="141"/>
    </row>
    <row r="26" spans="1:24">
      <c r="B26" s="3" t="s">
        <v>32</v>
      </c>
      <c r="G26" s="141">
        <v>10</v>
      </c>
      <c r="H26" s="4">
        <v>5000</v>
      </c>
      <c r="I26" s="141"/>
      <c r="J26" s="4">
        <v>5000</v>
      </c>
      <c r="K26" s="141">
        <v>1</v>
      </c>
      <c r="M26" s="4">
        <f>C26-E26+SUM(H26:H27)-SUM(J26:J27)</f>
        <v>0</v>
      </c>
      <c r="N26" s="4">
        <f>IF(M26&gt;0,+M26,0)</f>
        <v>0</v>
      </c>
      <c r="P26" s="4">
        <f>IF(M26&lt;0,-M26,0)</f>
        <v>0</v>
      </c>
      <c r="R26" s="4">
        <f>IF($A26=$S$8,+N26,0)</f>
        <v>0</v>
      </c>
      <c r="T26" s="3">
        <f>IF($A26=$S$8,+P26,0)</f>
        <v>0</v>
      </c>
      <c r="V26" s="3">
        <f>IF($A26=$W$8,+N26,0)</f>
        <v>0</v>
      </c>
      <c r="X26" s="3">
        <f>IF($A26=$W$8,+P26,0)</f>
        <v>0</v>
      </c>
    </row>
    <row r="27" spans="1:24" ht="5" customHeight="1">
      <c r="B27" s="18"/>
      <c r="C27" s="18"/>
      <c r="D27" s="18"/>
      <c r="E27" s="18"/>
      <c r="G27" s="141"/>
      <c r="I27" s="141"/>
      <c r="K27" s="141"/>
    </row>
    <row r="28" spans="1:24">
      <c r="A28" s="3">
        <v>2</v>
      </c>
      <c r="B28" s="3" t="s">
        <v>123</v>
      </c>
      <c r="G28" s="141"/>
      <c r="I28" s="141"/>
      <c r="J28" s="4">
        <v>450000</v>
      </c>
      <c r="K28" s="141">
        <v>6</v>
      </c>
      <c r="M28" s="4">
        <f>C28-E28+SUM(H28:H31)-SUM(J28:J31)</f>
        <v>-500000</v>
      </c>
      <c r="N28" s="4">
        <f>IF(M28&gt;0,+M28,0)</f>
        <v>0</v>
      </c>
      <c r="P28" s="4">
        <f>IF(M28&lt;0,-M28,0)</f>
        <v>500000</v>
      </c>
      <c r="R28" s="4">
        <f>IF($A28=$S$8,+N28,0)</f>
        <v>0</v>
      </c>
      <c r="T28" s="3">
        <f>IF($A28=$S$8,+P28,0)</f>
        <v>500000</v>
      </c>
      <c r="V28" s="3">
        <f>IF($A28=$W$8,+N28,0)</f>
        <v>0</v>
      </c>
      <c r="X28" s="3">
        <f>IF($A28=$W$8,+P28,0)</f>
        <v>0</v>
      </c>
    </row>
    <row r="29" spans="1:24">
      <c r="G29" s="141"/>
      <c r="I29" s="141"/>
      <c r="J29" s="4">
        <v>50000</v>
      </c>
      <c r="K29" s="141">
        <v>7</v>
      </c>
    </row>
    <row r="30" spans="1:24">
      <c r="G30" s="141"/>
      <c r="I30" s="141"/>
      <c r="K30" s="141"/>
    </row>
    <row r="31" spans="1:24" ht="5" customHeight="1">
      <c r="B31" s="18"/>
      <c r="C31" s="18"/>
      <c r="D31" s="18"/>
      <c r="E31" s="18"/>
      <c r="G31" s="141"/>
      <c r="I31" s="141"/>
      <c r="K31" s="141"/>
    </row>
    <row r="32" spans="1:24">
      <c r="A32" s="3">
        <v>2</v>
      </c>
      <c r="B32" s="3" t="s">
        <v>41</v>
      </c>
      <c r="G32" s="141">
        <v>3</v>
      </c>
      <c r="H32" s="4">
        <v>450000</v>
      </c>
      <c r="I32" s="141"/>
      <c r="K32" s="141"/>
      <c r="M32" s="4">
        <f>C32-E32+SUM(H32:H34)-SUM(J32:J34)</f>
        <v>525000</v>
      </c>
      <c r="N32" s="4">
        <f>IF(M32&gt;0,+M32,0)</f>
        <v>525000</v>
      </c>
      <c r="P32" s="4">
        <f>IF(M32&lt;0,-M32,0)</f>
        <v>0</v>
      </c>
      <c r="R32" s="4">
        <f>IF($A32=$S$8,+N32,0)</f>
        <v>525000</v>
      </c>
      <c r="T32" s="3">
        <f>IF($A32=$S$8,+P32,0)</f>
        <v>0</v>
      </c>
      <c r="V32" s="3">
        <f>IF($A32=$W$8,+N32,0)</f>
        <v>0</v>
      </c>
      <c r="X32" s="3">
        <f>IF($A32=$W$8,+P32,0)</f>
        <v>0</v>
      </c>
    </row>
    <row r="33" spans="1:24">
      <c r="G33" s="141">
        <v>7</v>
      </c>
      <c r="H33" s="4">
        <v>75000</v>
      </c>
      <c r="I33" s="141"/>
      <c r="K33" s="141"/>
    </row>
    <row r="34" spans="1:24" ht="5" customHeight="1">
      <c r="B34" s="18"/>
      <c r="C34" s="18"/>
      <c r="D34" s="18"/>
      <c r="E34" s="18"/>
      <c r="G34" s="141"/>
      <c r="I34" s="141"/>
      <c r="K34" s="141"/>
    </row>
    <row r="35" spans="1:24">
      <c r="A35" s="3">
        <v>2</v>
      </c>
      <c r="B35" s="3" t="s">
        <v>124</v>
      </c>
      <c r="G35" s="141"/>
      <c r="I35" s="141"/>
      <c r="J35" s="4">
        <v>60000</v>
      </c>
      <c r="K35" s="141">
        <v>9</v>
      </c>
      <c r="M35" s="4">
        <f>C35-E35+SUM(H35:H36)-SUM(J35:J36)</f>
        <v>-60000</v>
      </c>
      <c r="N35" s="4">
        <f>IF(M35&gt;0,+M35,0)</f>
        <v>0</v>
      </c>
      <c r="P35" s="4">
        <f>IF(M35&lt;0,-M35,0)</f>
        <v>60000</v>
      </c>
      <c r="R35" s="4">
        <f>IF($A35=$S$8,+N35,0)</f>
        <v>0</v>
      </c>
      <c r="T35" s="3">
        <f>IF($A35=$S$8,+P35,0)</f>
        <v>60000</v>
      </c>
      <c r="V35" s="3">
        <f>IF($A35=$W$8,+N35,0)</f>
        <v>0</v>
      </c>
      <c r="X35" s="3">
        <f>IF($A35=$W$8,+P35,0)</f>
        <v>0</v>
      </c>
    </row>
    <row r="36" spans="1:24" ht="5" customHeight="1">
      <c r="B36" s="18"/>
      <c r="C36" s="18"/>
      <c r="D36" s="18"/>
      <c r="E36" s="18"/>
      <c r="G36" s="141"/>
      <c r="I36" s="141"/>
      <c r="K36" s="141"/>
    </row>
    <row r="37" spans="1:24">
      <c r="G37" s="141"/>
      <c r="I37" s="141"/>
      <c r="K37" s="141"/>
      <c r="M37" s="4">
        <f>C37-E37+SUM(H37:H38)-SUM(J37:J38)</f>
        <v>0</v>
      </c>
      <c r="N37" s="4">
        <f>IF(M37&gt;0,+M37,0)</f>
        <v>0</v>
      </c>
      <c r="P37" s="4">
        <f>IF(M37&lt;0,-M37,0)</f>
        <v>0</v>
      </c>
      <c r="R37" s="4">
        <f>IF($A37=$S$8,+N37,0)</f>
        <v>0</v>
      </c>
      <c r="T37" s="3">
        <f>IF($A37=$S$8,+P37,0)</f>
        <v>0</v>
      </c>
      <c r="V37" s="3">
        <f>IF($A37=$W$8,+N37,0)</f>
        <v>0</v>
      </c>
      <c r="X37" s="3">
        <f>IF($A37=$W$8,+P37,0)</f>
        <v>0</v>
      </c>
    </row>
    <row r="38" spans="1:24" ht="5" customHeight="1" thickBot="1">
      <c r="B38" s="18"/>
      <c r="C38" s="18"/>
      <c r="D38" s="18"/>
      <c r="E38" s="18"/>
      <c r="G38" s="141"/>
    </row>
    <row r="39" spans="1:24" ht="14" thickBot="1">
      <c r="C39" s="12">
        <f>SUM(C9:C38)</f>
        <v>0</v>
      </c>
      <c r="E39" s="13">
        <f>SUM(E9:E38)</f>
        <v>0</v>
      </c>
      <c r="H39" s="13">
        <f>SUM(H9:H38)</f>
        <v>3325000</v>
      </c>
      <c r="J39" s="13">
        <f>SUM(J9:J38)</f>
        <v>3325000</v>
      </c>
      <c r="N39" s="13">
        <f>SUM(N9:N37)</f>
        <v>905000</v>
      </c>
      <c r="P39" s="13">
        <f>SUM(P9:P37)</f>
        <v>905000</v>
      </c>
      <c r="R39" s="10">
        <f>SUM(R9:R37)</f>
        <v>525000</v>
      </c>
      <c r="T39" s="7">
        <f>SUM(T9:T37)</f>
        <v>560000</v>
      </c>
      <c r="V39" s="7">
        <f>SUM(V9:V38)</f>
        <v>380000</v>
      </c>
      <c r="X39" s="7">
        <f>SUM(X9:X38)</f>
        <v>345000</v>
      </c>
    </row>
    <row r="40" spans="1:24" ht="15" thickTop="1" thickBot="1">
      <c r="B40" s="3" t="s">
        <v>55</v>
      </c>
      <c r="C40" s="14"/>
      <c r="E40" s="15"/>
      <c r="H40" s="15"/>
      <c r="J40" s="15"/>
      <c r="N40" s="15"/>
      <c r="P40" s="15"/>
      <c r="R40" s="4">
        <f>T39-R39</f>
        <v>35000</v>
      </c>
      <c r="V40" s="3">
        <f>T40</f>
        <v>0</v>
      </c>
      <c r="X40" s="3">
        <f>R40</f>
        <v>35000</v>
      </c>
    </row>
    <row r="41" spans="1:24" ht="14" thickBot="1">
      <c r="R41" s="13">
        <f>R40+R39</f>
        <v>560000</v>
      </c>
      <c r="T41" s="12">
        <f>T40+T39</f>
        <v>560000</v>
      </c>
      <c r="V41" s="12">
        <f>V40+V39</f>
        <v>380000</v>
      </c>
      <c r="X41" s="12">
        <f>X40+X39</f>
        <v>380000</v>
      </c>
    </row>
    <row r="42" spans="1:24" ht="14" thickTop="1">
      <c r="R42" s="15"/>
      <c r="T42" s="14"/>
      <c r="V42" s="14"/>
      <c r="X42" s="14"/>
    </row>
  </sheetData>
  <pageMargins left="0.2" right="0.2" top="0.75" bottom="0.75" header="0.3" footer="0.3"/>
  <pageSetup scale="72" orientation="landscape"/>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workbookViewId="0">
      <selection activeCell="D6" sqref="D6:D17"/>
    </sheetView>
  </sheetViews>
  <sheetFormatPr baseColWidth="10" defaultColWidth="8.5703125" defaultRowHeight="13" x14ac:dyDescent="0"/>
  <cols>
    <col min="1" max="2" width="2.5703125" style="24" customWidth="1"/>
    <col min="3" max="3" width="41.42578125" style="24" customWidth="1"/>
    <col min="4" max="4" width="8.5703125" style="24" customWidth="1"/>
    <col min="5" max="16384" width="8.5703125" style="24"/>
  </cols>
  <sheetData>
    <row r="1" spans="1:5">
      <c r="A1" s="153" t="str">
        <f>+'GF BtoA'!A1:J1</f>
        <v>CITY OF SPRINGFIELD</v>
      </c>
      <c r="B1" s="153"/>
      <c r="C1" s="153"/>
      <c r="D1" s="153"/>
      <c r="E1" s="153"/>
    </row>
    <row r="2" spans="1:5">
      <c r="A2" s="153" t="s">
        <v>125</v>
      </c>
      <c r="B2" s="153"/>
      <c r="C2" s="153"/>
      <c r="D2" s="153"/>
    </row>
    <row r="3" spans="1:5">
      <c r="A3" s="153" t="s">
        <v>58</v>
      </c>
      <c r="B3" s="153"/>
      <c r="C3" s="153"/>
      <c r="D3" s="153"/>
    </row>
    <row r="4" spans="1:5">
      <c r="A4" s="153" t="s">
        <v>59</v>
      </c>
      <c r="B4" s="153"/>
      <c r="C4" s="153"/>
      <c r="D4" s="153"/>
    </row>
    <row r="6" spans="1:5">
      <c r="A6" s="32" t="s">
        <v>126</v>
      </c>
      <c r="B6" s="34"/>
      <c r="C6" s="34"/>
      <c r="D6" s="78"/>
    </row>
    <row r="7" spans="1:5">
      <c r="A7" s="32"/>
      <c r="B7" s="34"/>
      <c r="C7" s="34"/>
    </row>
    <row r="8" spans="1:5">
      <c r="A8" s="32" t="s">
        <v>127</v>
      </c>
      <c r="B8" s="34"/>
      <c r="C8" s="34"/>
    </row>
    <row r="9" spans="1:5">
      <c r="A9" s="32"/>
      <c r="B9" s="34"/>
      <c r="C9" s="34"/>
      <c r="D9" s="38"/>
    </row>
    <row r="10" spans="1:5">
      <c r="A10" s="32" t="s">
        <v>77</v>
      </c>
      <c r="B10" s="34"/>
      <c r="C10" s="34"/>
      <c r="D10" s="29"/>
    </row>
    <row r="11" spans="1:5">
      <c r="A11" s="32"/>
      <c r="B11" s="34"/>
      <c r="C11" s="34"/>
      <c r="D11" s="38"/>
    </row>
    <row r="12" spans="1:5">
      <c r="A12" s="32" t="s">
        <v>128</v>
      </c>
      <c r="B12" s="34"/>
      <c r="C12" s="34"/>
      <c r="D12" s="38"/>
    </row>
    <row r="13" spans="1:5">
      <c r="A13" s="32"/>
      <c r="B13" s="34"/>
      <c r="C13" s="34"/>
      <c r="D13" s="38"/>
    </row>
    <row r="14" spans="1:5">
      <c r="A14" s="32" t="s">
        <v>86</v>
      </c>
      <c r="B14" s="34"/>
      <c r="C14" s="34"/>
      <c r="D14" s="29"/>
    </row>
    <row r="15" spans="1:5">
      <c r="A15" s="32"/>
      <c r="B15" s="34"/>
      <c r="C15" s="34"/>
      <c r="D15" s="38"/>
    </row>
    <row r="16" spans="1:5">
      <c r="A16" s="32" t="s">
        <v>87</v>
      </c>
      <c r="B16" s="34"/>
      <c r="C16" s="34"/>
      <c r="D16" s="38"/>
    </row>
    <row r="17" spans="1:4" ht="14" thickBot="1">
      <c r="A17" s="32" t="s">
        <v>88</v>
      </c>
      <c r="B17" s="34"/>
      <c r="C17" s="34"/>
      <c r="D17" s="80"/>
    </row>
    <row r="18" spans="1:4" ht="14" thickTop="1"/>
  </sheetData>
  <mergeCells count="4">
    <mergeCell ref="A2:D2"/>
    <mergeCell ref="A3:D3"/>
    <mergeCell ref="A4:D4"/>
    <mergeCell ref="A1:E1"/>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workbookViewId="0">
      <selection activeCell="E14" sqref="E14:E16"/>
    </sheetView>
  </sheetViews>
  <sheetFormatPr baseColWidth="10" defaultColWidth="8.5703125" defaultRowHeight="13" x14ac:dyDescent="0"/>
  <cols>
    <col min="1" max="2" width="2.5703125" style="24" customWidth="1"/>
    <col min="3" max="3" width="33.5703125" style="24" customWidth="1"/>
    <col min="4" max="5" width="9.5703125" style="24" customWidth="1"/>
    <col min="6" max="16384" width="8.5703125" style="24"/>
  </cols>
  <sheetData>
    <row r="1" spans="1:5">
      <c r="A1" s="152" t="str">
        <f>+'AP OS'!A1:E1</f>
        <v>CITY OF SPRINGFIELD</v>
      </c>
      <c r="B1" s="152"/>
      <c r="C1" s="152"/>
      <c r="D1" s="152"/>
      <c r="E1" s="152"/>
    </row>
    <row r="2" spans="1:5">
      <c r="A2" s="153" t="s">
        <v>125</v>
      </c>
      <c r="B2" s="153"/>
      <c r="C2" s="153"/>
      <c r="D2" s="153"/>
      <c r="E2" s="153"/>
    </row>
    <row r="3" spans="1:5">
      <c r="A3" s="153" t="s">
        <v>9</v>
      </c>
      <c r="B3" s="153"/>
      <c r="C3" s="153"/>
      <c r="D3" s="153"/>
      <c r="E3" s="153"/>
    </row>
    <row r="4" spans="1:5">
      <c r="A4" s="153" t="s">
        <v>89</v>
      </c>
      <c r="B4" s="153"/>
      <c r="C4" s="153"/>
      <c r="D4" s="153"/>
      <c r="E4" s="153"/>
    </row>
    <row r="6" spans="1:5">
      <c r="A6" s="153" t="s">
        <v>90</v>
      </c>
      <c r="B6" s="153"/>
      <c r="C6" s="153"/>
      <c r="D6" s="153"/>
      <c r="E6" s="153"/>
    </row>
    <row r="7" spans="1:5">
      <c r="A7" s="32" t="s">
        <v>91</v>
      </c>
      <c r="B7" s="32"/>
      <c r="C7" s="32"/>
      <c r="D7" s="34"/>
      <c r="E7" s="78"/>
    </row>
    <row r="8" spans="1:5">
      <c r="A8" s="32" t="s">
        <v>121</v>
      </c>
      <c r="B8" s="32"/>
      <c r="C8" s="32"/>
      <c r="D8" s="34"/>
      <c r="E8" s="38"/>
    </row>
    <row r="9" spans="1:5" ht="14" thickBot="1">
      <c r="A9" s="32" t="s">
        <v>100</v>
      </c>
      <c r="B9" s="32"/>
      <c r="C9" s="32"/>
      <c r="D9" s="34"/>
      <c r="E9" s="80"/>
    </row>
    <row r="10" spans="1:5" ht="14" thickTop="1">
      <c r="A10" s="32"/>
      <c r="B10" s="32"/>
      <c r="C10" s="32"/>
      <c r="D10" s="34"/>
    </row>
    <row r="11" spans="1:5">
      <c r="A11" s="153" t="s">
        <v>129</v>
      </c>
      <c r="B11" s="153"/>
      <c r="C11" s="153"/>
      <c r="D11" s="153"/>
      <c r="E11" s="153"/>
    </row>
    <row r="12" spans="1:5">
      <c r="A12" s="32" t="s">
        <v>102</v>
      </c>
      <c r="B12" s="32"/>
      <c r="C12" s="32"/>
      <c r="D12" s="34"/>
    </row>
    <row r="13" spans="1:5">
      <c r="B13" s="32" t="s">
        <v>103</v>
      </c>
      <c r="C13" s="32"/>
      <c r="D13" s="47"/>
      <c r="E13" s="38"/>
    </row>
    <row r="14" spans="1:5">
      <c r="B14" s="32" t="s">
        <v>130</v>
      </c>
      <c r="C14" s="32"/>
      <c r="D14" s="40"/>
      <c r="E14" s="78"/>
    </row>
    <row r="15" spans="1:5">
      <c r="A15" s="32" t="s">
        <v>131</v>
      </c>
      <c r="B15" s="32"/>
      <c r="C15" s="32"/>
      <c r="D15" s="42"/>
      <c r="E15" s="38"/>
    </row>
    <row r="16" spans="1:5" ht="14" thickBot="1">
      <c r="A16" s="32" t="s">
        <v>107</v>
      </c>
      <c r="B16" s="32"/>
      <c r="C16" s="32"/>
      <c r="D16" s="34"/>
      <c r="E16" s="80"/>
    </row>
    <row r="17" ht="14" thickTop="1"/>
  </sheetData>
  <mergeCells count="6">
    <mergeCell ref="A11:E11"/>
    <mergeCell ref="A1:E1"/>
    <mergeCell ref="A2:E2"/>
    <mergeCell ref="A3:E3"/>
    <mergeCell ref="A4:E4"/>
    <mergeCell ref="A6:E6"/>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X43"/>
  <sheetViews>
    <sheetView topLeftCell="B1" workbookViewId="0">
      <selection activeCell="B1" sqref="B1"/>
    </sheetView>
  </sheetViews>
  <sheetFormatPr baseColWidth="10" defaultColWidth="9.5703125" defaultRowHeight="13" x14ac:dyDescent="0"/>
  <cols>
    <col min="1" max="1" width="3.5703125" style="3" customWidth="1"/>
    <col min="2" max="2" width="30.5703125" style="3" customWidth="1"/>
    <col min="3" max="3" width="9.5703125" style="3" customWidth="1"/>
    <col min="4" max="4" width="1.5703125" style="3" customWidth="1"/>
    <col min="5" max="5" width="9.5703125" style="4" customWidth="1"/>
    <col min="6" max="6" width="1.5703125" style="4" customWidth="1"/>
    <col min="7" max="7" width="4.5703125" style="4" customWidth="1"/>
    <col min="8" max="8" width="9.5703125" style="4" customWidth="1"/>
    <col min="9" max="9" width="1.5703125" style="4" customWidth="1"/>
    <col min="10" max="10" width="9.5703125" style="4" customWidth="1"/>
    <col min="11" max="11" width="4.5703125" style="4" customWidth="1"/>
    <col min="12" max="12" width="1.5703125" style="4" customWidth="1"/>
    <col min="13" max="13" width="0" style="4" hidden="1" customWidth="1"/>
    <col min="14" max="14" width="9.5703125" style="4" customWidth="1"/>
    <col min="15" max="15" width="1.5703125" style="4" customWidth="1"/>
    <col min="16" max="16" width="9.5703125" style="4" customWidth="1"/>
    <col min="17" max="17" width="1.5703125" style="4" customWidth="1"/>
    <col min="18" max="18" width="9.5703125" style="4" customWidth="1"/>
    <col min="19" max="19" width="2.5703125" style="3" customWidth="1"/>
    <col min="20" max="20" width="9.5703125" style="3" customWidth="1"/>
    <col min="21" max="21" width="1.5703125" style="3" customWidth="1"/>
    <col min="22" max="22" width="9.5703125" style="3" customWidth="1"/>
    <col min="23" max="23" width="2.5703125" style="3" customWidth="1"/>
    <col min="24" max="24" width="9.5703125" style="3" customWidth="1"/>
    <col min="25" max="16384" width="9.5703125" style="3"/>
  </cols>
  <sheetData>
    <row r="1" spans="1:24">
      <c r="A1" s="1" t="s">
        <v>0</v>
      </c>
      <c r="B1" s="1"/>
      <c r="C1" s="1"/>
      <c r="D1" s="1"/>
      <c r="E1" s="2"/>
      <c r="F1" s="2"/>
      <c r="G1" s="2"/>
      <c r="H1" s="2"/>
      <c r="I1" s="2"/>
      <c r="J1" s="2"/>
      <c r="K1" s="2"/>
      <c r="L1" s="2"/>
      <c r="M1" s="2"/>
      <c r="N1" s="2"/>
      <c r="O1" s="2"/>
      <c r="P1" s="2"/>
      <c r="Q1" s="2"/>
      <c r="R1" s="2"/>
      <c r="S1" s="1"/>
      <c r="T1" s="1"/>
      <c r="U1" s="1"/>
      <c r="V1" s="1"/>
      <c r="W1" s="1"/>
      <c r="X1" s="1"/>
    </row>
    <row r="2" spans="1:24">
      <c r="A2" s="1" t="s">
        <v>132</v>
      </c>
      <c r="B2" s="1"/>
      <c r="C2" s="1"/>
      <c r="D2" s="1"/>
      <c r="E2" s="2"/>
      <c r="F2" s="2"/>
      <c r="G2" s="2"/>
      <c r="H2" s="2"/>
      <c r="I2" s="2"/>
      <c r="J2" s="2"/>
      <c r="K2" s="2"/>
      <c r="L2" s="2"/>
      <c r="M2" s="2"/>
      <c r="N2" s="2"/>
      <c r="O2" s="2"/>
      <c r="P2" s="2"/>
      <c r="Q2" s="2"/>
      <c r="R2" s="2"/>
      <c r="S2" s="1"/>
      <c r="T2" s="1"/>
      <c r="U2" s="1"/>
      <c r="V2" s="1"/>
      <c r="W2" s="1"/>
      <c r="X2" s="1"/>
    </row>
    <row r="3" spans="1:24">
      <c r="A3" s="1" t="s">
        <v>2</v>
      </c>
      <c r="B3" s="1"/>
      <c r="C3" s="1"/>
      <c r="D3" s="1"/>
      <c r="E3" s="2"/>
      <c r="F3" s="2"/>
      <c r="G3" s="2"/>
      <c r="H3" s="2"/>
      <c r="I3" s="2"/>
      <c r="J3" s="2"/>
      <c r="K3" s="2"/>
      <c r="L3" s="2"/>
      <c r="M3" s="2"/>
      <c r="N3" s="2"/>
      <c r="O3" s="2"/>
      <c r="P3" s="2"/>
      <c r="Q3" s="2"/>
      <c r="R3" s="2"/>
      <c r="S3" s="1"/>
      <c r="T3" s="1"/>
      <c r="U3" s="1"/>
      <c r="V3" s="1"/>
      <c r="W3" s="1"/>
      <c r="X3" s="1"/>
    </row>
    <row r="4" spans="1:24">
      <c r="A4" s="3" t="s">
        <v>120</v>
      </c>
      <c r="C4" s="3">
        <f>IF(C40&gt;E40,0,+E40-C40)</f>
        <v>0</v>
      </c>
      <c r="E4" s="3">
        <f>IF(E40&gt;C40,0,+C40-E40)</f>
        <v>0</v>
      </c>
      <c r="F4" s="3"/>
      <c r="G4" s="3"/>
      <c r="H4" s="3">
        <f>IF(H40&gt;J40,0,+J40-H40)</f>
        <v>0</v>
      </c>
      <c r="I4" s="3"/>
      <c r="J4" s="3">
        <f>IF(J40&gt;H40,0,+H40-J40)</f>
        <v>0</v>
      </c>
      <c r="K4" s="3"/>
      <c r="L4" s="3"/>
      <c r="M4" s="3"/>
      <c r="N4" s="3">
        <f>IF(N40&gt;P40,0,+P40-N40)</f>
        <v>0</v>
      </c>
      <c r="O4" s="3"/>
      <c r="P4" s="3">
        <f>IF(P40&gt;N40,0,+N40-P40)</f>
        <v>0</v>
      </c>
      <c r="Q4" s="3"/>
      <c r="R4" s="3">
        <f>IF(R42&gt;T42,0,+T42-R42)</f>
        <v>0</v>
      </c>
      <c r="T4" s="3">
        <f>IF(T42&gt;R42,0,+R42-T42)</f>
        <v>0</v>
      </c>
      <c r="V4" s="3">
        <f>IF(V42&gt;X42,0,+X42-V42)</f>
        <v>0</v>
      </c>
      <c r="X4" s="3">
        <f>IF(X42&gt;V42,0,+V42-X42)</f>
        <v>0</v>
      </c>
    </row>
    <row r="5" spans="1:24" ht="5" customHeight="1"/>
    <row r="6" spans="1:24">
      <c r="C6" s="1" t="s">
        <v>4</v>
      </c>
      <c r="D6" s="1"/>
      <c r="E6" s="2"/>
      <c r="N6" s="2" t="s">
        <v>4</v>
      </c>
      <c r="O6" s="2"/>
      <c r="P6" s="2"/>
      <c r="V6" s="1"/>
      <c r="W6" s="1"/>
      <c r="X6" s="1"/>
    </row>
    <row r="7" spans="1:24">
      <c r="C7" s="1" t="s">
        <v>5</v>
      </c>
      <c r="D7" s="1"/>
      <c r="E7" s="2"/>
      <c r="G7" s="2" t="s">
        <v>6</v>
      </c>
      <c r="H7" s="2"/>
      <c r="I7" s="2"/>
      <c r="J7" s="2"/>
      <c r="K7" s="2"/>
      <c r="N7" s="2" t="s">
        <v>7</v>
      </c>
      <c r="O7" s="2"/>
      <c r="P7" s="2"/>
      <c r="R7" s="2" t="s">
        <v>8</v>
      </c>
      <c r="S7" s="1"/>
      <c r="T7" s="1"/>
      <c r="V7" s="1" t="s">
        <v>9</v>
      </c>
      <c r="W7" s="1"/>
      <c r="X7" s="1"/>
    </row>
    <row r="8" spans="1:24">
      <c r="A8" s="5"/>
      <c r="B8" s="17" t="s">
        <v>10</v>
      </c>
      <c r="C8" s="6" t="s">
        <v>11</v>
      </c>
      <c r="D8" s="7"/>
      <c r="E8" s="8" t="s">
        <v>12</v>
      </c>
      <c r="G8" s="8" t="s">
        <v>13</v>
      </c>
      <c r="H8" s="9" t="s">
        <v>11</v>
      </c>
      <c r="I8" s="10"/>
      <c r="J8" s="8" t="s">
        <v>12</v>
      </c>
      <c r="K8" s="8" t="s">
        <v>13</v>
      </c>
      <c r="N8" s="8" t="s">
        <v>11</v>
      </c>
      <c r="O8" s="10"/>
      <c r="P8" s="8" t="s">
        <v>12</v>
      </c>
      <c r="R8" s="8" t="s">
        <v>11</v>
      </c>
      <c r="S8" s="128">
        <v>2</v>
      </c>
      <c r="T8" s="11" t="s">
        <v>12</v>
      </c>
      <c r="V8" s="6" t="s">
        <v>11</v>
      </c>
      <c r="W8" s="128">
        <v>1</v>
      </c>
      <c r="X8" s="6" t="s">
        <v>12</v>
      </c>
    </row>
    <row r="9" spans="1:24">
      <c r="A9" s="110"/>
      <c r="B9" s="3" t="s">
        <v>14</v>
      </c>
      <c r="C9" s="7"/>
      <c r="E9" s="10"/>
      <c r="G9" s="8"/>
      <c r="H9" s="10"/>
      <c r="I9" s="141"/>
      <c r="J9" s="10"/>
      <c r="K9" s="8"/>
      <c r="M9" s="4">
        <f>C9-E9+SUM(H9:H12)-SUM(J9:J12)</f>
        <v>0</v>
      </c>
      <c r="N9" s="10">
        <f>IF(M9&gt;0,+M9,0)</f>
        <v>0</v>
      </c>
      <c r="P9" s="10">
        <f>IF(M9&lt;0,-M9,0)</f>
        <v>0</v>
      </c>
      <c r="R9" s="10">
        <f>IF($A9=$S$8,+N9,0)</f>
        <v>0</v>
      </c>
      <c r="T9" s="7">
        <f>IF($A9=$S$8,+P9,0)</f>
        <v>0</v>
      </c>
      <c r="V9" s="7">
        <f>IF($A9=$W$8,+N9,0)</f>
        <v>0</v>
      </c>
      <c r="X9" s="7">
        <f>IF($A9=$W$8,+P9,0)</f>
        <v>0</v>
      </c>
    </row>
    <row r="10" spans="1:24">
      <c r="C10" s="146"/>
      <c r="E10" s="16"/>
      <c r="G10" s="19"/>
      <c r="H10" s="16"/>
      <c r="I10" s="141"/>
      <c r="J10" s="16"/>
      <c r="K10" s="19"/>
      <c r="N10" s="16"/>
      <c r="P10" s="16"/>
      <c r="R10" s="16"/>
      <c r="T10" s="146"/>
      <c r="V10" s="146"/>
      <c r="X10" s="146"/>
    </row>
    <row r="11" spans="1:24">
      <c r="C11" s="146"/>
      <c r="E11" s="16"/>
      <c r="G11" s="19"/>
      <c r="H11" s="16"/>
      <c r="I11" s="141"/>
      <c r="J11" s="16"/>
      <c r="K11" s="19"/>
      <c r="N11" s="16"/>
      <c r="P11" s="16"/>
      <c r="R11" s="16"/>
      <c r="T11" s="146"/>
      <c r="V11" s="146"/>
      <c r="X11" s="146"/>
    </row>
    <row r="12" spans="1:24" ht="5" customHeight="1">
      <c r="B12" s="18"/>
      <c r="C12" s="18"/>
      <c r="D12" s="18"/>
      <c r="E12" s="18"/>
      <c r="G12" s="141"/>
      <c r="I12" s="141"/>
      <c r="K12" s="141"/>
    </row>
    <row r="13" spans="1:24">
      <c r="B13" s="3" t="s">
        <v>133</v>
      </c>
      <c r="G13" s="141"/>
      <c r="I13" s="141"/>
      <c r="K13" s="141"/>
      <c r="M13" s="4">
        <f>C13-E13+SUM(H13:H14)-SUM(J13:J14)</f>
        <v>0</v>
      </c>
      <c r="N13" s="4">
        <f>IF(M13&gt;0,+M13,0)</f>
        <v>0</v>
      </c>
      <c r="P13" s="4">
        <f>IF(M13&lt;0,-M13,0)</f>
        <v>0</v>
      </c>
      <c r="R13" s="4">
        <f>IF($A13=$S$8,+N13,0)</f>
        <v>0</v>
      </c>
      <c r="T13" s="3">
        <f>IF($A13=$S$8,+P13,0)</f>
        <v>0</v>
      </c>
      <c r="V13" s="3">
        <f>IF($A13=$W$8,+N13,0)</f>
        <v>0</v>
      </c>
      <c r="X13" s="3">
        <f>IF($A13=$W$8,+P13,0)</f>
        <v>0</v>
      </c>
    </row>
    <row r="14" spans="1:24" ht="5" customHeight="1">
      <c r="B14" s="18"/>
      <c r="C14" s="18"/>
      <c r="D14" s="18"/>
      <c r="E14" s="18"/>
      <c r="G14" s="141"/>
      <c r="I14" s="141"/>
      <c r="K14" s="141"/>
    </row>
    <row r="15" spans="1:24">
      <c r="B15" s="3" t="s">
        <v>31</v>
      </c>
      <c r="G15" s="141"/>
      <c r="I15" s="141"/>
      <c r="K15" s="141"/>
      <c r="M15" s="4">
        <f>C15-E15+SUM(H15:H16)-SUM(J15:J16)</f>
        <v>0</v>
      </c>
      <c r="N15" s="4">
        <f>IF(M15&gt;0,+M15,0)</f>
        <v>0</v>
      </c>
      <c r="P15" s="4">
        <f>IF(M15&lt;0,-M15,0)</f>
        <v>0</v>
      </c>
      <c r="R15" s="4">
        <f>IF($A15=$S$8,+N15,0)</f>
        <v>0</v>
      </c>
      <c r="T15" s="3">
        <f>IF($A15=$S$8,+P15,0)</f>
        <v>0</v>
      </c>
      <c r="V15" s="3">
        <f>IF($A15=$W$8,+N15,0)</f>
        <v>0</v>
      </c>
      <c r="X15" s="3">
        <f>IF($A15=$W$8,+P15,0)</f>
        <v>0</v>
      </c>
    </row>
    <row r="16" spans="1:24" ht="5" customHeight="1">
      <c r="B16" s="18"/>
      <c r="C16" s="18"/>
      <c r="D16" s="18"/>
      <c r="E16" s="18"/>
      <c r="G16" s="141"/>
      <c r="I16" s="141"/>
      <c r="K16" s="141"/>
    </row>
    <row r="17" spans="1:24">
      <c r="A17" s="110"/>
      <c r="B17" s="3" t="s">
        <v>134</v>
      </c>
      <c r="G17" s="141"/>
      <c r="I17" s="141"/>
      <c r="K17" s="141"/>
      <c r="M17" s="4">
        <f>C17-E17+SUM(H17:H18)-SUM(J17:J18)</f>
        <v>0</v>
      </c>
      <c r="N17" s="4">
        <f>IF(M17&gt;0,+M17,0)</f>
        <v>0</v>
      </c>
      <c r="P17" s="4">
        <f>IF(M17&lt;0,-M17,0)</f>
        <v>0</v>
      </c>
      <c r="R17" s="4">
        <f>IF($A17=$S$8,+N17,0)</f>
        <v>0</v>
      </c>
      <c r="T17" s="3">
        <f>IF($A17=$S$8,+P17,0)</f>
        <v>0</v>
      </c>
      <c r="V17" s="3">
        <f>IF($A17=$W$8,+N17,0)</f>
        <v>0</v>
      </c>
      <c r="X17" s="3">
        <f>IF($A17=$W$8,+P17,0)</f>
        <v>0</v>
      </c>
    </row>
    <row r="18" spans="1:24" ht="5" customHeight="1">
      <c r="A18" s="110"/>
      <c r="B18" s="18"/>
      <c r="C18" s="18"/>
      <c r="D18" s="18"/>
      <c r="E18" s="18"/>
      <c r="G18" s="141"/>
      <c r="I18" s="141"/>
      <c r="K18" s="141"/>
    </row>
    <row r="19" spans="1:24">
      <c r="A19" s="110"/>
      <c r="B19" s="3" t="s">
        <v>124</v>
      </c>
      <c r="G19" s="141"/>
      <c r="I19" s="141"/>
      <c r="K19" s="141"/>
      <c r="M19" s="4">
        <f>C19-E19+SUM(H19:H20)-SUM(J19:J20)</f>
        <v>0</v>
      </c>
      <c r="N19" s="4">
        <f>IF(M19&gt;0,+M19,0)</f>
        <v>0</v>
      </c>
      <c r="P19" s="4">
        <f>IF(M19&lt;0,-M19,0)</f>
        <v>0</v>
      </c>
      <c r="R19" s="4">
        <f>IF($A19=$S$8,+N19,0)</f>
        <v>0</v>
      </c>
      <c r="T19" s="3">
        <f>IF($A19=$S$8,+P19,0)</f>
        <v>0</v>
      </c>
      <c r="V19" s="3">
        <f>IF($A19=$W$8,+N19,0)</f>
        <v>0</v>
      </c>
      <c r="X19" s="3">
        <f>IF($A19=$W$8,+P19,0)</f>
        <v>0</v>
      </c>
    </row>
    <row r="20" spans="1:24" ht="5" customHeight="1">
      <c r="A20" s="110"/>
      <c r="B20" s="18"/>
      <c r="C20" s="18"/>
      <c r="D20" s="18"/>
      <c r="E20" s="18"/>
      <c r="G20" s="141"/>
      <c r="I20" s="141"/>
      <c r="K20" s="141"/>
    </row>
    <row r="21" spans="1:24">
      <c r="A21" s="110"/>
      <c r="B21" s="3" t="s">
        <v>135</v>
      </c>
      <c r="G21" s="141"/>
      <c r="I21" s="141"/>
      <c r="K21" s="141"/>
      <c r="M21" s="4">
        <f>C21-E21+SUM(H21:H22)-SUM(J21:J22)</f>
        <v>0</v>
      </c>
      <c r="N21" s="4">
        <f>IF(M21&gt;0,+M21,0)</f>
        <v>0</v>
      </c>
      <c r="P21" s="4">
        <f>IF(M21&lt;0,-M21,0)</f>
        <v>0</v>
      </c>
      <c r="R21" s="4">
        <f>IF($A21=$S$8,+N21,0)</f>
        <v>0</v>
      </c>
      <c r="T21" s="3">
        <f>IF($A21=$S$8,+P21,0)</f>
        <v>0</v>
      </c>
      <c r="V21" s="3">
        <f>IF($A21=$W$8,+N21,0)</f>
        <v>0</v>
      </c>
      <c r="X21" s="3">
        <f>IF($A21=$W$8,+P21,0)</f>
        <v>0</v>
      </c>
    </row>
    <row r="22" spans="1:24" ht="5" customHeight="1">
      <c r="A22" s="110"/>
      <c r="B22" s="18"/>
      <c r="C22" s="18"/>
      <c r="D22" s="18"/>
      <c r="E22" s="18"/>
      <c r="G22" s="141"/>
      <c r="I22" s="141"/>
      <c r="K22" s="141"/>
    </row>
    <row r="23" spans="1:24">
      <c r="A23" s="110"/>
      <c r="B23" s="3" t="s">
        <v>136</v>
      </c>
      <c r="G23" s="141"/>
      <c r="I23" s="141"/>
      <c r="K23" s="141"/>
      <c r="M23" s="4">
        <f>C23-E23+SUM(H23:H24)-SUM(J23:J24)</f>
        <v>0</v>
      </c>
      <c r="N23" s="4">
        <f>IF(M23&gt;0,+M23,0)</f>
        <v>0</v>
      </c>
      <c r="P23" s="4">
        <f>IF(M23&lt;0,-M23,0)</f>
        <v>0</v>
      </c>
      <c r="R23" s="4">
        <f>IF($A23=$S$8,+N23,0)</f>
        <v>0</v>
      </c>
      <c r="T23" s="3">
        <f>IF($A23=$S$8,+P23,0)</f>
        <v>0</v>
      </c>
      <c r="V23" s="3">
        <f>IF($A23=$W$8,+N23,0)</f>
        <v>0</v>
      </c>
      <c r="X23" s="3">
        <f>IF($A23=$W$8,+P23,0)</f>
        <v>0</v>
      </c>
    </row>
    <row r="24" spans="1:24" ht="5" customHeight="1">
      <c r="A24" s="110"/>
      <c r="B24" s="18"/>
      <c r="C24" s="18"/>
      <c r="D24" s="18"/>
      <c r="E24" s="18"/>
      <c r="G24" s="141"/>
      <c r="I24" s="141"/>
      <c r="K24" s="141"/>
    </row>
    <row r="25" spans="1:24">
      <c r="A25" s="110"/>
      <c r="B25" s="3" t="s">
        <v>137</v>
      </c>
      <c r="G25" s="141"/>
      <c r="I25" s="141"/>
      <c r="K25" s="141"/>
      <c r="M25" s="4">
        <f>C25-E25+SUM(H25:H26)-SUM(J25:J26)</f>
        <v>0</v>
      </c>
      <c r="N25" s="4">
        <f>IF(M25&gt;0,+M25,0)</f>
        <v>0</v>
      </c>
      <c r="P25" s="4">
        <f>IF(M25&lt;0,-M25,0)</f>
        <v>0</v>
      </c>
      <c r="R25" s="4">
        <f>IF($A25=$S$8,+N25,0)</f>
        <v>0</v>
      </c>
      <c r="T25" s="3">
        <f>IF($A25=$S$8,+P25,0)</f>
        <v>0</v>
      </c>
      <c r="V25" s="3">
        <f>IF($A25=$W$8,+N25,0)</f>
        <v>0</v>
      </c>
      <c r="X25" s="3">
        <f>IF($A25=$W$8,+P25,0)</f>
        <v>0</v>
      </c>
    </row>
    <row r="26" spans="1:24" ht="5" customHeight="1">
      <c r="B26" s="18"/>
      <c r="C26" s="18"/>
      <c r="D26" s="18"/>
      <c r="E26" s="18"/>
      <c r="G26" s="141"/>
      <c r="I26" s="141"/>
      <c r="K26" s="141"/>
    </row>
    <row r="27" spans="1:24">
      <c r="B27" s="3" t="s">
        <v>33</v>
      </c>
      <c r="G27" s="141"/>
      <c r="I27" s="141"/>
      <c r="K27" s="141"/>
      <c r="M27" s="4">
        <f>C27-E27+SUM(H27:H29)-SUM(J27:J29)</f>
        <v>0</v>
      </c>
      <c r="N27" s="4">
        <f>IF(M27&gt;0,+M27,0)</f>
        <v>0</v>
      </c>
      <c r="P27" s="4">
        <f>IF(M27&lt;0,-M27,0)</f>
        <v>0</v>
      </c>
      <c r="R27" s="4">
        <f>IF($A27=$S$8,+N27,0)</f>
        <v>0</v>
      </c>
      <c r="T27" s="3">
        <f>IF($A27=$S$8,+P27,0)</f>
        <v>0</v>
      </c>
      <c r="V27" s="3">
        <f>IF($A27=$W$8,+N27,0)</f>
        <v>0</v>
      </c>
      <c r="X27" s="3">
        <f>IF($A27=$W$8,+P27,0)</f>
        <v>0</v>
      </c>
    </row>
    <row r="28" spans="1:24">
      <c r="G28" s="141"/>
      <c r="I28" s="141"/>
      <c r="K28" s="141"/>
    </row>
    <row r="29" spans="1:24" ht="5" customHeight="1">
      <c r="B29" s="18"/>
      <c r="C29" s="18"/>
      <c r="D29" s="18"/>
      <c r="E29" s="18"/>
      <c r="G29" s="141"/>
      <c r="I29" s="141"/>
      <c r="K29" s="141"/>
    </row>
    <row r="30" spans="1:24">
      <c r="B30" s="3" t="s">
        <v>138</v>
      </c>
      <c r="G30" s="141"/>
      <c r="I30" s="141"/>
      <c r="K30" s="141"/>
      <c r="M30" s="4">
        <f>C30-E30+SUM(H30:H32)-SUM(J30:J32)</f>
        <v>0</v>
      </c>
      <c r="N30" s="4">
        <f>IF(M30&gt;0,+M30,0)</f>
        <v>0</v>
      </c>
      <c r="P30" s="4">
        <f>IF(M30&lt;0,-M30,0)</f>
        <v>0</v>
      </c>
      <c r="R30" s="4">
        <f>IF($A30=$S$8,+N30,0)</f>
        <v>0</v>
      </c>
      <c r="T30" s="3">
        <f>IF($A30=$S$8,+P30,0)</f>
        <v>0</v>
      </c>
      <c r="V30" s="3">
        <f>IF($A30=$W$8,+N30,0)</f>
        <v>0</v>
      </c>
      <c r="X30" s="3">
        <f>IF($A30=$W$8,+P30,0)</f>
        <v>0</v>
      </c>
    </row>
    <row r="31" spans="1:24">
      <c r="G31" s="141"/>
      <c r="I31" s="141"/>
    </row>
    <row r="32" spans="1:24" ht="5" customHeight="1">
      <c r="B32" s="18"/>
      <c r="C32" s="18"/>
      <c r="D32" s="18"/>
      <c r="E32" s="18"/>
      <c r="G32" s="141"/>
      <c r="I32" s="141"/>
      <c r="K32" s="141"/>
    </row>
    <row r="33" spans="1:24">
      <c r="A33" s="110"/>
      <c r="B33" s="3" t="s">
        <v>46</v>
      </c>
      <c r="G33" s="141"/>
      <c r="I33" s="141"/>
      <c r="K33" s="141"/>
      <c r="M33" s="4">
        <f>C33-E33+SUM(H33:H35)-SUM(J33:J35)</f>
        <v>0</v>
      </c>
      <c r="N33" s="4">
        <f>IF(M33&gt;0,+M33,0)</f>
        <v>0</v>
      </c>
      <c r="P33" s="4">
        <f>IF(M33&lt;0,-M33,0)</f>
        <v>0</v>
      </c>
      <c r="R33" s="4">
        <f>IF($A33=$S$8,+N33,0)</f>
        <v>0</v>
      </c>
      <c r="T33" s="3">
        <f>IF($A33=$S$8,+P33,0)</f>
        <v>0</v>
      </c>
      <c r="V33" s="3">
        <f>IF($A33=$W$8,+N33,0)</f>
        <v>0</v>
      </c>
      <c r="X33" s="3">
        <f>IF($A33=$W$8,+P33,0)</f>
        <v>0</v>
      </c>
    </row>
    <row r="34" spans="1:24">
      <c r="G34" s="141"/>
      <c r="I34" s="141"/>
      <c r="K34" s="141"/>
    </row>
    <row r="35" spans="1:24" ht="5" customHeight="1">
      <c r="B35" s="18"/>
      <c r="C35" s="18"/>
      <c r="D35" s="18"/>
      <c r="E35" s="18"/>
      <c r="G35" s="141"/>
      <c r="I35" s="141"/>
      <c r="K35" s="141"/>
    </row>
    <row r="36" spans="1:24">
      <c r="A36" s="110"/>
      <c r="B36" s="3" t="s">
        <v>139</v>
      </c>
      <c r="G36" s="141"/>
      <c r="I36" s="141"/>
      <c r="K36" s="141"/>
      <c r="M36" s="4">
        <f>C36-E36+SUM(H36:H37)-SUM(J36:J37)</f>
        <v>0</v>
      </c>
      <c r="N36" s="4">
        <f>IF(M36&gt;0,+M36,0)</f>
        <v>0</v>
      </c>
      <c r="P36" s="4">
        <f>IF(M36&lt;0,-M36,0)</f>
        <v>0</v>
      </c>
      <c r="R36" s="4">
        <f>IF($A36=$S$8,+N36,0)</f>
        <v>0</v>
      </c>
      <c r="T36" s="3">
        <f>IF($A36=$S$8,+P36,0)</f>
        <v>0</v>
      </c>
      <c r="V36" s="3">
        <f>IF($A36=$W$8,+N36,0)</f>
        <v>0</v>
      </c>
      <c r="X36" s="3">
        <f>IF($A36=$W$8,+P36,0)</f>
        <v>0</v>
      </c>
    </row>
    <row r="37" spans="1:24" ht="5" customHeight="1">
      <c r="B37" s="18"/>
      <c r="C37" s="18"/>
      <c r="D37" s="18"/>
      <c r="E37" s="18"/>
      <c r="G37" s="141"/>
      <c r="I37" s="141"/>
      <c r="K37" s="141"/>
    </row>
    <row r="38" spans="1:24">
      <c r="G38" s="141"/>
      <c r="I38" s="141"/>
      <c r="K38" s="141"/>
    </row>
    <row r="39" spans="1:24" ht="5" customHeight="1" thickBot="1">
      <c r="B39" s="18"/>
      <c r="C39" s="18"/>
      <c r="D39" s="18"/>
      <c r="E39" s="18"/>
      <c r="G39" s="141"/>
    </row>
    <row r="40" spans="1:24" ht="14" thickBot="1">
      <c r="C40" s="12">
        <f>SUM(C9:C39)</f>
        <v>0</v>
      </c>
      <c r="E40" s="13">
        <f>SUM(E9:E39)</f>
        <v>0</v>
      </c>
      <c r="H40" s="13">
        <f>SUM(H9:H39)</f>
        <v>0</v>
      </c>
      <c r="J40" s="13">
        <f>SUM(J9:J39)</f>
        <v>0</v>
      </c>
      <c r="N40" s="13">
        <f>SUM(N9:N37)</f>
        <v>0</v>
      </c>
      <c r="P40" s="13">
        <f>SUM(P9:P37)</f>
        <v>0</v>
      </c>
      <c r="R40" s="10">
        <f>SUM(R9:R37)</f>
        <v>0</v>
      </c>
      <c r="T40" s="7">
        <f>SUM(T9:T37)</f>
        <v>0</v>
      </c>
      <c r="V40" s="7">
        <f>SUM(V9:V39)</f>
        <v>0</v>
      </c>
      <c r="X40" s="7">
        <f>SUM(X9:X39)</f>
        <v>0</v>
      </c>
    </row>
    <row r="41" spans="1:24" ht="15" thickTop="1" thickBot="1">
      <c r="B41" s="3" t="s">
        <v>55</v>
      </c>
      <c r="C41" s="14"/>
      <c r="E41" s="15"/>
      <c r="H41" s="15"/>
      <c r="J41" s="15"/>
      <c r="N41" s="15"/>
      <c r="P41" s="15"/>
      <c r="R41" s="4">
        <f>IF(R40&gt;T40,0,+T40-R40)</f>
        <v>0</v>
      </c>
      <c r="T41" s="3">
        <f>IF(T40&gt;R40,0,+R40-T40)</f>
        <v>0</v>
      </c>
      <c r="V41" s="3">
        <f>T41</f>
        <v>0</v>
      </c>
      <c r="X41" s="3">
        <f>R41</f>
        <v>0</v>
      </c>
    </row>
    <row r="42" spans="1:24" ht="14" thickBot="1">
      <c r="R42" s="13">
        <f>R41+R40</f>
        <v>0</v>
      </c>
      <c r="T42" s="12">
        <f>T41+T40</f>
        <v>0</v>
      </c>
      <c r="V42" s="12">
        <f>V41+V40</f>
        <v>0</v>
      </c>
      <c r="X42" s="12">
        <f>X41+X40</f>
        <v>0</v>
      </c>
    </row>
    <row r="43" spans="1:24" ht="14" thickTop="1">
      <c r="R43" s="15"/>
      <c r="T43" s="14"/>
      <c r="V43" s="14"/>
      <c r="X43" s="14"/>
    </row>
  </sheetData>
  <printOptions horizontalCentered="1"/>
  <pageMargins left="0.2" right="0.2" top="0.75" bottom="0.75" header="0.3" footer="0.3"/>
  <pageSetup scale="72" orientation="landscape"/>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50"/>
  </sheetPr>
  <dimension ref="A1:F26"/>
  <sheetViews>
    <sheetView workbookViewId="0">
      <selection sqref="A1:E1"/>
    </sheetView>
  </sheetViews>
  <sheetFormatPr baseColWidth="10" defaultColWidth="8.5703125" defaultRowHeight="13" x14ac:dyDescent="0"/>
  <cols>
    <col min="1" max="1" width="2.5703125" style="24" customWidth="1"/>
    <col min="2" max="2" width="2.85546875" style="24" customWidth="1"/>
    <col min="3" max="3" width="30.5703125" style="24" customWidth="1"/>
    <col min="4" max="5" width="9.5703125" style="24" customWidth="1"/>
    <col min="6" max="16384" width="8.5703125" style="24"/>
  </cols>
  <sheetData>
    <row r="1" spans="1:6">
      <c r="A1" s="153" t="s">
        <v>56</v>
      </c>
      <c r="B1" s="153"/>
      <c r="C1" s="153"/>
      <c r="D1" s="153"/>
      <c r="E1" s="153"/>
    </row>
    <row r="2" spans="1:6">
      <c r="A2" s="153" t="s">
        <v>140</v>
      </c>
      <c r="B2" s="153"/>
      <c r="C2" s="153"/>
      <c r="D2" s="153"/>
      <c r="E2" s="153"/>
    </row>
    <row r="3" spans="1:6">
      <c r="A3" s="153" t="s">
        <v>58</v>
      </c>
      <c r="B3" s="153"/>
      <c r="C3" s="153"/>
      <c r="D3" s="153"/>
      <c r="E3" s="153"/>
    </row>
    <row r="4" spans="1:6">
      <c r="A4" s="153" t="s">
        <v>59</v>
      </c>
      <c r="B4" s="153"/>
      <c r="C4" s="153"/>
      <c r="D4" s="153"/>
      <c r="E4" s="153"/>
    </row>
    <row r="5" spans="1:6">
      <c r="A5" s="25"/>
      <c r="B5" s="25"/>
      <c r="C5" s="25"/>
      <c r="D5" s="25"/>
      <c r="E5" s="25"/>
    </row>
    <row r="6" spans="1:6">
      <c r="A6" s="32" t="s">
        <v>141</v>
      </c>
      <c r="B6" s="32"/>
      <c r="C6" s="32"/>
      <c r="D6" s="25"/>
      <c r="E6" s="75">
        <f>+'P&amp;R CPF'!T17</f>
        <v>0</v>
      </c>
    </row>
    <row r="7" spans="1:6">
      <c r="A7" s="32"/>
      <c r="B7" s="32"/>
      <c r="C7" s="32"/>
      <c r="D7" s="25"/>
      <c r="E7" s="25"/>
      <c r="F7" s="25"/>
    </row>
    <row r="8" spans="1:6">
      <c r="A8" s="32" t="s">
        <v>68</v>
      </c>
      <c r="B8" s="32"/>
      <c r="C8" s="32"/>
      <c r="D8" s="25"/>
      <c r="E8" s="25"/>
      <c r="F8" s="25"/>
    </row>
    <row r="9" spans="1:6">
      <c r="A9" s="32" t="s">
        <v>142</v>
      </c>
      <c r="B9" s="32"/>
      <c r="C9" s="32"/>
      <c r="D9" s="75">
        <f>+'P&amp;R CPF'!R33</f>
        <v>0</v>
      </c>
      <c r="E9" s="25"/>
      <c r="F9" s="25"/>
    </row>
    <row r="10" spans="1:6">
      <c r="A10" s="32" t="s">
        <v>143</v>
      </c>
      <c r="B10" s="32"/>
      <c r="C10" s="32"/>
      <c r="D10" s="27">
        <f>+'P&amp;R CPF'!R25</f>
        <v>0</v>
      </c>
      <c r="F10" s="25"/>
    </row>
    <row r="11" spans="1:6">
      <c r="A11" s="32"/>
      <c r="B11" s="32" t="s">
        <v>76</v>
      </c>
      <c r="C11" s="32"/>
      <c r="D11" s="29"/>
      <c r="E11" s="27">
        <f>+D10+D9</f>
        <v>0</v>
      </c>
      <c r="F11" s="25"/>
    </row>
    <row r="12" spans="1:6">
      <c r="A12" s="32"/>
      <c r="B12" s="32"/>
      <c r="C12" s="32"/>
      <c r="D12" s="27"/>
      <c r="E12" s="29"/>
      <c r="F12" s="25"/>
    </row>
    <row r="13" spans="1:6">
      <c r="A13" s="32" t="s">
        <v>144</v>
      </c>
      <c r="B13" s="32"/>
      <c r="C13" s="32"/>
      <c r="D13" s="27"/>
      <c r="E13" s="27">
        <f>+E6-E11</f>
        <v>0</v>
      </c>
      <c r="F13" s="25"/>
    </row>
    <row r="14" spans="1:6">
      <c r="A14" s="32"/>
      <c r="B14" s="32"/>
      <c r="C14" s="32"/>
      <c r="D14" s="27"/>
      <c r="E14" s="27"/>
      <c r="F14" s="25"/>
    </row>
    <row r="15" spans="1:6">
      <c r="A15" s="32" t="s">
        <v>78</v>
      </c>
      <c r="B15" s="32"/>
      <c r="C15" s="32"/>
      <c r="D15" s="27"/>
      <c r="E15" s="27"/>
      <c r="F15" s="25"/>
    </row>
    <row r="16" spans="1:6">
      <c r="A16" s="32" t="s">
        <v>145</v>
      </c>
      <c r="B16" s="32"/>
      <c r="C16" s="32"/>
      <c r="D16" s="27">
        <f>+'P&amp;R CPF'!T19</f>
        <v>0</v>
      </c>
      <c r="E16" s="27"/>
      <c r="F16" s="25"/>
    </row>
    <row r="17" spans="1:6">
      <c r="A17" s="32" t="s">
        <v>146</v>
      </c>
      <c r="B17" s="32"/>
      <c r="C17" s="32"/>
      <c r="D17" s="27">
        <f>+'P&amp;R CPF'!T21</f>
        <v>0</v>
      </c>
      <c r="E17" s="27"/>
      <c r="F17" s="25"/>
    </row>
    <row r="18" spans="1:6">
      <c r="A18" s="32" t="s">
        <v>147</v>
      </c>
      <c r="B18" s="32"/>
      <c r="C18" s="32"/>
      <c r="D18" s="27">
        <f>+'P&amp;R CPF'!T23</f>
        <v>0</v>
      </c>
      <c r="F18" s="25"/>
    </row>
    <row r="19" spans="1:6">
      <c r="A19" s="32"/>
      <c r="B19" s="32" t="s">
        <v>85</v>
      </c>
      <c r="C19" s="32"/>
      <c r="D19" s="29"/>
      <c r="E19" s="27">
        <f>SUM(D16:D18)</f>
        <v>0</v>
      </c>
      <c r="F19" s="25"/>
    </row>
    <row r="20" spans="1:6">
      <c r="A20" s="32"/>
      <c r="B20" s="32"/>
      <c r="C20" s="32"/>
      <c r="D20" s="27"/>
      <c r="E20" s="29"/>
      <c r="F20" s="25"/>
    </row>
    <row r="21" spans="1:6">
      <c r="A21" s="32" t="s">
        <v>86</v>
      </c>
      <c r="B21" s="32"/>
      <c r="C21" s="32"/>
      <c r="D21" s="27"/>
      <c r="E21" s="27">
        <f>SUM(E13:E19)</f>
        <v>0</v>
      </c>
      <c r="F21" s="25"/>
    </row>
    <row r="22" spans="1:6">
      <c r="A22" s="32"/>
      <c r="B22" s="32"/>
      <c r="C22" s="32"/>
      <c r="D22" s="27"/>
      <c r="E22" s="27"/>
      <c r="F22" s="25"/>
    </row>
    <row r="23" spans="1:6">
      <c r="A23" s="32" t="s">
        <v>87</v>
      </c>
      <c r="B23" s="32"/>
      <c r="C23" s="32"/>
      <c r="D23" s="27"/>
      <c r="E23" s="27">
        <v>0</v>
      </c>
      <c r="F23" s="25"/>
    </row>
    <row r="24" spans="1:6" ht="14" thickBot="1">
      <c r="A24" s="32" t="s">
        <v>88</v>
      </c>
      <c r="B24" s="32"/>
      <c r="C24" s="32"/>
      <c r="D24" s="27"/>
      <c r="E24" s="80">
        <f>SUM(E21:E23)</f>
        <v>0</v>
      </c>
      <c r="F24" s="25"/>
    </row>
    <row r="25" spans="1:6" ht="14" thickTop="1">
      <c r="D25" s="25"/>
      <c r="E25" s="25"/>
      <c r="F25" s="25"/>
    </row>
    <row r="26" spans="1:6">
      <c r="D26" s="25"/>
      <c r="E26" s="25"/>
      <c r="F26" s="25"/>
    </row>
  </sheetData>
  <mergeCells count="4">
    <mergeCell ref="A1:E1"/>
    <mergeCell ref="A2:E2"/>
    <mergeCell ref="A3:E3"/>
    <mergeCell ref="A4:E4"/>
  </mergeCells>
  <printOptions horizontalCentered="1"/>
  <pageMargins left="0.7" right="0.7" top="0.75" bottom="0.75" header="0.3" footer="0.3"/>
  <pageSetup orientation="portrait"/>
  <extLst>
    <ext xmlns:mx="http://schemas.microsoft.com/office/mac/excel/2008/main" uri="{64002731-A6B0-56B0-2670-7721B7C09600}">
      <mx:PLV Mode="0" OnePage="0" WScale="0"/>
    </ext>
  </extLst>
</worksheet>
</file>

<file path=customXml/_rels/item1.xml.rels><?xml version="1.0" encoding="UTF-8"?>

<Relationships xmlns="http://schemas.openxmlformats.org/package/2006/relationships">
  <Relationship Id="rId1" Type="http://schemas.openxmlformats.org/officeDocument/2006/relationships/customXmlProps" Target="itemProps1.xml"/>
</Relationships>

</file>

<file path=customXml/_rels/item2.xml.rels><?xml version="1.0" encoding="UTF-8"?>

<Relationships xmlns="http://schemas.openxmlformats.org/package/2006/relationships">
  <Relationship Id="rId1" Type="http://schemas.openxmlformats.org/officeDocument/2006/relationships/customXmlProps" Target="itemProps2.xml"/>
</Relationships>

</file>

<file path=customXml/_rels/item3.xml.rels><?xml version="1.0" encoding="UTF-8"?>

<Relationships xmlns="http://schemas.openxmlformats.org/package/2006/relationships">
  <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9267F6D1A260A4394C18F5AF72445EA" ma:contentTypeVersion="3" ma:contentTypeDescription="Create a new document." ma:contentTypeScope="" ma:versionID="d6a723735a0ade9a92961b83aee31dda">
  <xsd:schema xmlns:xsd="http://www.w3.org/2001/XMLSchema" xmlns:xs="http://www.w3.org/2001/XMLSchema" xmlns:p="http://schemas.microsoft.com/office/2006/metadata/properties" targetNamespace="http://schemas.microsoft.com/office/2006/metadata/properties" ma:root="true" ma:fieldsID="e345bd7673956a623930e5662e321f3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21B4A2-08C4-43BB-A798-0735EB52F249}">
  <ds:schemaRefs>
    <ds:schemaRef ds:uri="http://schemas.microsoft.com/sharepoint/v3/contenttype/forms"/>
  </ds:schemaRefs>
</ds:datastoreItem>
</file>

<file path=customXml/itemProps2.xml><?xml version="1.0" encoding="utf-8"?>
<ds:datastoreItem xmlns:ds="http://schemas.openxmlformats.org/officeDocument/2006/customXml" ds:itemID="{7E4596B7-8918-4453-AFEB-29B770ACA5AF}">
  <ds:schemaRefs>
    <ds:schemaRef ds:uri="http://www.w3.org/XML/1998/namespace"/>
    <ds:schemaRef ds:uri="http://schemas.microsoft.com/office/2006/documentManagement/types"/>
    <ds:schemaRef ds:uri="http://purl.org/dc/dcmitype/"/>
    <ds:schemaRef ds:uri="http://schemas.microsoft.com/office/2006/metadata/properties"/>
    <ds:schemaRef ds:uri="http://purl.org/dc/elements/1.1/"/>
    <ds:schemaRef ds:uri="http://purl.org/dc/terms/"/>
    <ds:schemaRef ds:uri="http://schemas.microsoft.com/office/infopath/2007/PartnerControls"/>
    <ds:schemaRef ds:uri="http://schemas.openxmlformats.org/package/2006/metadata/core-properties"/>
  </ds:schemaRefs>
</ds:datastoreItem>
</file>

<file path=customXml/itemProps3.xml><?xml version="1.0" encoding="utf-8"?>
<ds:datastoreItem xmlns:ds="http://schemas.openxmlformats.org/officeDocument/2006/customXml" ds:itemID="{6083F15E-66FE-4C16-8A9F-1A8CD9AB3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Worksheets</vt:lpstr>
      </vt:variant>
      <vt:variant>
        <vt:i4>43</vt:i4>
      </vt:variant>
    </vt:vector>
  </HeadingPairs>
  <TitlesOfParts>
    <vt:vector size="43" baseType="lpstr">
      <vt:lpstr>GF WS</vt:lpstr>
      <vt:lpstr>GF OS</vt:lpstr>
      <vt:lpstr>GF BS</vt:lpstr>
      <vt:lpstr>GF BtoA</vt:lpstr>
      <vt:lpstr>AP SRF</vt:lpstr>
      <vt:lpstr>AP OS</vt:lpstr>
      <vt:lpstr>AP BS</vt:lpstr>
      <vt:lpstr>P&amp;R CPF</vt:lpstr>
      <vt:lpstr>P&amp;R OS</vt:lpstr>
      <vt:lpstr>P&amp;R BS</vt:lpstr>
      <vt:lpstr>Gen DSF</vt:lpstr>
      <vt:lpstr>Gen DSF OS</vt:lpstr>
      <vt:lpstr>Gen DSF BS</vt:lpstr>
      <vt:lpstr>GCA-GLTL</vt:lpstr>
      <vt:lpstr>net position calculation</vt:lpstr>
      <vt:lpstr>CGA WS</vt:lpstr>
      <vt:lpstr>CGA Note</vt:lpstr>
      <vt:lpstr>GLTL </vt:lpstr>
      <vt:lpstr>GLTL N</vt:lpstr>
      <vt:lpstr>W&amp;S EF</vt:lpstr>
      <vt:lpstr>W&amp;S OS</vt:lpstr>
      <vt:lpstr>W&amp;S SNP</vt:lpstr>
      <vt:lpstr>W&amp;S NP Calc</vt:lpstr>
      <vt:lpstr>W&amp;S SCF</vt:lpstr>
      <vt:lpstr>CCN ISF</vt:lpstr>
      <vt:lpstr>CCN OS</vt:lpstr>
      <vt:lpstr>CCN SNP</vt:lpstr>
      <vt:lpstr>CCN SCF</vt:lpstr>
      <vt:lpstr>PTF WS</vt:lpstr>
      <vt:lpstr>PTF OS</vt:lpstr>
      <vt:lpstr>PTF SNP</vt:lpstr>
      <vt:lpstr>Gov Fund OS</vt:lpstr>
      <vt:lpstr>Gov Fund BS</vt:lpstr>
      <vt:lpstr>Prop Fund OS</vt:lpstr>
      <vt:lpstr>Prop Fund SNP</vt:lpstr>
      <vt:lpstr>GF OS Conversion</vt:lpstr>
      <vt:lpstr>GF BS Conversion</vt:lpstr>
      <vt:lpstr>One Worksheet</vt:lpstr>
      <vt:lpstr>GW SNP</vt:lpstr>
      <vt:lpstr>BS Recon</vt:lpstr>
      <vt:lpstr>GW SoA</vt:lpstr>
      <vt:lpstr>OS Recon</vt:lpstr>
      <vt:lpstr>Sheet1</vt:lpstr>
    </vt:vector>
  </TitlesOfParts>
  <LinksUpToDate>false</LinksUpToDate>
  <SharedDoc>false</SharedDoc>
  <HyperlinksChanged>false</HyperlinksChanged>
  <AppVersion>14.0300</AppVersion>
  <Company/>
  <Template/>
  <Manager/>
  <TotalTime>0</TotalTime>
</Properties>
</file>

<file path=docProps/core.xml><?xml version="1.0" encoding="utf-8"?>
<coreProperties xmlns="http://schemas.openxmlformats.org/package/2006/metadata/core-properties" xmlns:cp="http://schemas.openxmlformats.org/package/2006/metadata/core-properties" xmlns:dc="http://purl.org/dc/elements/1.1/" xmlns:dcterms="http://purl.org/dc/terms/" xmlns:xsi="http://www.w3.org/2001/XMLSchema-instance">
  <revision>0</revision>
</coreProperties>
</file>

<file path=docProps/custom.xml><?xml version="1.0" encoding="utf-8"?>
<Properties xmlns="http://schemas.openxmlformats.org/officeDocument/2006/custom-properties" xmlns:vt="http://schemas.openxmlformats.org/officeDocument/2006/docPropsVTypes"/>
</file>