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130" activeTab="1"/>
  </bookViews>
  <sheets>
    <sheet name="Pricing" sheetId="1" r:id="rId1"/>
    <sheet name="Calibration" sheetId="2" r:id="rId2"/>
    <sheet name="CDS pricing" sheetId="3" r:id="rId3"/>
  </sheets>
  <externalReferences>
    <externalReference r:id="rId4"/>
  </externalReferences>
  <definedNames>
    <definedName name="h" localSheetId="1">Calibration!$C$2</definedName>
    <definedName name="h">Pricing!$C$2</definedName>
    <definedName name="N" localSheetId="2">'CDS pricing'!$B$2</definedName>
    <definedName name="N">'CDS pricing'!$B$2</definedName>
    <definedName name="qd">'[1]Zero coupon bond with recovery'!$B$6</definedName>
    <definedName name="qu">'[1]Zero coupon bond with recovery'!$B$5</definedName>
    <definedName name="rf" localSheetId="1">Calibration!$F$2</definedName>
    <definedName name="rf" localSheetId="2">Pricing!$F$2</definedName>
    <definedName name="rf">Pricing!$F$2</definedName>
    <definedName name="S">'CDS pricing'!$B$1</definedName>
    <definedName name="solver_adj" localSheetId="1" hidden="1">Calibration!$A$6,Calibration!$A$8,Calibration!$A$10,Calibration!$A$12,Calibration!$A$14</definedName>
    <definedName name="solver_adj" localSheetId="2" hidden="1">'CDS pricing'!$B$1</definedName>
    <definedName name="solver_cvg" localSheetId="1" hidden="1">0.0001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ng" localSheetId="1" hidden="1">1</definedName>
    <definedName name="solver_eng" localSheetId="2" hidden="1">1</definedName>
    <definedName name="solver_est" localSheetId="1" hidden="1">1</definedName>
    <definedName name="solver_est" localSheetId="2" hidden="1">1</definedName>
    <definedName name="solver_itr" localSheetId="1" hidden="1">2147483647</definedName>
    <definedName name="solver_itr" localSheetId="2" hidden="1">2147483647</definedName>
    <definedName name="solver_lhs1" localSheetId="1" hidden="1">Calibration!$A$6</definedName>
    <definedName name="solver_lin" localSheetId="1" hidden="1">2</definedName>
    <definedName name="solver_lin" localSheetId="2" hidden="1">2</definedName>
    <definedName name="solver_mip" localSheetId="1" hidden="1">2147483647</definedName>
    <definedName name="solver_mip" localSheetId="2" hidden="1">2147483647</definedName>
    <definedName name="solver_mni" localSheetId="1" hidden="1">30</definedName>
    <definedName name="solver_mni" localSheetId="2" hidden="1">30</definedName>
    <definedName name="solver_mrt" localSheetId="1" hidden="1">0.075</definedName>
    <definedName name="solver_mrt" localSheetId="2" hidden="1">0.075</definedName>
    <definedName name="solver_msl" localSheetId="1" hidden="1">2</definedName>
    <definedName name="solver_msl" localSheetId="2" hidden="1">2</definedName>
    <definedName name="solver_neg" localSheetId="1" hidden="1">1</definedName>
    <definedName name="solver_neg" localSheetId="2" hidden="1">1</definedName>
    <definedName name="solver_nod" localSheetId="1" hidden="1">2147483647</definedName>
    <definedName name="solver_nod" localSheetId="2" hidden="1">2147483647</definedName>
    <definedName name="solver_num" localSheetId="1" hidden="1">0</definedName>
    <definedName name="solver_num" localSheetId="2" hidden="1">0</definedName>
    <definedName name="solver_nwt" localSheetId="1" hidden="1">1</definedName>
    <definedName name="solver_nwt" localSheetId="2" hidden="1">1</definedName>
    <definedName name="solver_opt" localSheetId="1" hidden="1">Calibration!$J$21</definedName>
    <definedName name="solver_opt" localSheetId="2" hidden="1">'CDS pricing'!$H$18</definedName>
    <definedName name="solver_pre" localSheetId="1" hidden="1">0.000001</definedName>
    <definedName name="solver_pre" localSheetId="2" hidden="1">0.000001</definedName>
    <definedName name="solver_rbv" localSheetId="1" hidden="1">1</definedName>
    <definedName name="solver_rbv" localSheetId="2" hidden="1">1</definedName>
    <definedName name="solver_rel1" localSheetId="1" hidden="1">3</definedName>
    <definedName name="solver_rhs1" localSheetId="1" hidden="1">0.0001</definedName>
    <definedName name="solver_rlx" localSheetId="1" hidden="1">2</definedName>
    <definedName name="solver_rlx" localSheetId="2" hidden="1">2</definedName>
    <definedName name="solver_rsd" localSheetId="1" hidden="1">0</definedName>
    <definedName name="solver_rsd" localSheetId="2" hidden="1">0</definedName>
    <definedName name="solver_scl" localSheetId="1" hidden="1">1</definedName>
    <definedName name="solver_scl" localSheetId="2" hidden="1">1</definedName>
    <definedName name="solver_sho" localSheetId="1" hidden="1">2</definedName>
    <definedName name="solver_sho" localSheetId="2" hidden="1">2</definedName>
    <definedName name="solver_ssz" localSheetId="1" hidden="1">100</definedName>
    <definedName name="solver_ssz" localSheetId="2" hidden="1">100</definedName>
    <definedName name="solver_tim" localSheetId="1" hidden="1">2147483647</definedName>
    <definedName name="solver_tim" localSheetId="2" hidden="1">2147483647</definedName>
    <definedName name="solver_tol" localSheetId="1" hidden="1">0.01</definedName>
    <definedName name="solver_tol" localSheetId="2" hidden="1">0.01</definedName>
    <definedName name="solver_typ" localSheetId="1" hidden="1">2</definedName>
    <definedName name="solver_typ" localSheetId="2" hidden="1">3</definedName>
    <definedName name="solver_val" localSheetId="1" hidden="1">0</definedName>
    <definedName name="solver_val" localSheetId="2" hidden="1">0</definedName>
    <definedName name="solver_ver" localSheetId="1" hidden="1">2</definedName>
    <definedName name="solver_ver" localSheetId="2" hidden="1">2</definedName>
  </definedNames>
  <calcPr calcId="144525" concurrentCalc="0"/>
</workbook>
</file>

<file path=xl/sharedStrings.xml><?xml version="1.0" encoding="utf-8"?>
<sst xmlns="http://schemas.openxmlformats.org/spreadsheetml/2006/main" count="40">
  <si>
    <t>Interest rate</t>
  </si>
  <si>
    <t xml:space="preserve">1yr bond: c = 5%, R= 10% </t>
  </si>
  <si>
    <t xml:space="preserve">2yr bond: c = 2%, R= 25% </t>
  </si>
  <si>
    <t xml:space="preserve">3yr bond: c = 5%, R= 50% </t>
  </si>
  <si>
    <t xml:space="preserve">4yr bond: c = 5%, R=10% </t>
  </si>
  <si>
    <t>5yr bond: c=10%, R=20%</t>
  </si>
  <si>
    <t>Hazard rate</t>
  </si>
  <si>
    <t>Time</t>
  </si>
  <si>
    <t>Survival probability</t>
  </si>
  <si>
    <t>Default probabilty</t>
  </si>
  <si>
    <t>Discount rate</t>
  </si>
  <si>
    <t xml:space="preserve">Coupon+Face </t>
  </si>
  <si>
    <t>Recovery</t>
  </si>
  <si>
    <t>Discounted Expected value</t>
  </si>
  <si>
    <r>
      <rPr>
        <b/>
        <sz val="11"/>
        <color theme="3"/>
        <rFont val="Calibri"/>
        <charset val="134"/>
      </rPr>
      <t>d(0,t)*(</t>
    </r>
    <r>
      <rPr>
        <b/>
        <sz val="11"/>
        <color indexed="56"/>
        <rFont val="Calibri"/>
        <charset val="134"/>
      </rPr>
      <t>q</t>
    </r>
    <r>
      <rPr>
        <b/>
        <sz val="11"/>
        <color theme="3"/>
        <rFont val="Calibri"/>
        <charset val="134"/>
      </rPr>
      <t>(t)*c + (1-</t>
    </r>
    <r>
      <rPr>
        <b/>
        <sz val="11"/>
        <color indexed="56"/>
        <rFont val="Calibri"/>
        <charset val="134"/>
      </rPr>
      <t>q</t>
    </r>
    <r>
      <rPr>
        <b/>
        <sz val="11"/>
        <color theme="3"/>
        <rFont val="Calibri"/>
        <charset val="134"/>
      </rPr>
      <t>(t))*R)</t>
    </r>
  </si>
  <si>
    <t>Price</t>
  </si>
  <si>
    <t xml:space="preserve">2yr bond: c = 8%, R= 25% </t>
  </si>
  <si>
    <t>d(0,t)*(p(t)*c + (1-p(t))*R)</t>
  </si>
  <si>
    <r>
      <rPr>
        <b/>
        <sz val="11"/>
        <color theme="3"/>
        <rFont val="Calibri"/>
        <charset val="134"/>
      </rPr>
      <t>d(0,t)*(</t>
    </r>
    <r>
      <rPr>
        <b/>
        <sz val="11"/>
        <color indexed="56"/>
        <rFont val="Calibri"/>
        <charset val="134"/>
      </rPr>
      <t>q</t>
    </r>
    <r>
      <rPr>
        <b/>
        <sz val="11"/>
        <color theme="3"/>
        <rFont val="Calibri"/>
        <charset val="134"/>
      </rPr>
      <t>(t)*c + (1-</t>
    </r>
    <r>
      <rPr>
        <b/>
        <sz val="11"/>
        <color indexed="56"/>
        <rFont val="Calibri"/>
        <charset val="134"/>
      </rPr>
      <t>q(</t>
    </r>
    <r>
      <rPr>
        <b/>
        <sz val="11"/>
        <color theme="3"/>
        <rFont val="Calibri"/>
        <charset val="134"/>
      </rPr>
      <t>t))*R)</t>
    </r>
  </si>
  <si>
    <t>Model Price</t>
  </si>
  <si>
    <t>True Price</t>
  </si>
  <si>
    <t>Error</t>
  </si>
  <si>
    <t>Sum Error</t>
  </si>
  <si>
    <t xml:space="preserve">Spread </t>
  </si>
  <si>
    <t>Principal</t>
  </si>
  <si>
    <t xml:space="preserve">Interest </t>
  </si>
  <si>
    <t>Month</t>
  </si>
  <si>
    <t>Discount</t>
  </si>
  <si>
    <t>Survival probability (%)</t>
  </si>
  <si>
    <t>Fixed payment</t>
  </si>
  <si>
    <t>Expected value of premium (ExD)</t>
  </si>
  <si>
    <t>PV of premium (NxFxB)</t>
  </si>
  <si>
    <t>Default Prob. (%)</t>
  </si>
  <si>
    <t>Accrued interest (E/2xG)</t>
  </si>
  <si>
    <t>PV of accrued interest (NxIxB)</t>
  </si>
  <si>
    <t>Expected Protection payment (1-R)H</t>
  </si>
  <si>
    <t>PV of expected protection payment (NxKxB)</t>
  </si>
  <si>
    <t>Premium Leg</t>
  </si>
  <si>
    <t>Protection Leg</t>
  </si>
  <si>
    <t>Value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</si>
</sst>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0.000"/>
    <numFmt numFmtId="177" formatCode="0.00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0.0"/>
  </numFmts>
  <fonts count="24"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56"/>
      <name val="Calibri"/>
      <charset val="134"/>
    </font>
    <font>
      <b/>
      <sz val="11"/>
      <color theme="3"/>
      <name val="Calibri"/>
      <charset val="134"/>
    </font>
  </fonts>
  <fills count="36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14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18" borderId="3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22" borderId="6" applyNumberFormat="0" applyAlignment="0" applyProtection="0">
      <alignment vertical="center"/>
    </xf>
    <xf numFmtId="0" fontId="18" fillId="22" borderId="2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0" borderId="0"/>
  </cellStyleXfs>
  <cellXfs count="23">
    <xf numFmtId="0" fontId="0" fillId="0" borderId="0" xfId="49"/>
    <xf numFmtId="0" fontId="0" fillId="0" borderId="0" xfId="49" applyAlignment="1">
      <alignment horizontal="center" wrapText="1"/>
    </xf>
    <xf numFmtId="2" fontId="0" fillId="0" borderId="0" xfId="49" applyNumberFormat="1"/>
    <xf numFmtId="176" fontId="0" fillId="0" borderId="0" xfId="49" applyNumberFormat="1"/>
    <xf numFmtId="3" fontId="0" fillId="0" borderId="0" xfId="49" applyNumberFormat="1"/>
    <xf numFmtId="0" fontId="1" fillId="0" borderId="0" xfId="49" applyFont="1" applyBorder="1"/>
    <xf numFmtId="2" fontId="0" fillId="2" borderId="1" xfId="49" applyNumberFormat="1" applyFill="1" applyBorder="1"/>
    <xf numFmtId="3" fontId="0" fillId="2" borderId="1" xfId="49" applyNumberFormat="1" applyFill="1" applyBorder="1"/>
    <xf numFmtId="0" fontId="1" fillId="0" borderId="0" xfId="49" applyFont="1" applyBorder="1" applyAlignment="1">
      <alignment wrapText="1"/>
    </xf>
    <xf numFmtId="176" fontId="1" fillId="0" borderId="0" xfId="49" applyNumberFormat="1" applyFont="1" applyBorder="1" applyAlignment="1">
      <alignment wrapText="1"/>
    </xf>
    <xf numFmtId="178" fontId="0" fillId="0" borderId="0" xfId="49" applyNumberFormat="1"/>
    <xf numFmtId="0" fontId="1" fillId="0" borderId="0" xfId="49" applyFont="1" applyBorder="1" applyAlignment="1"/>
    <xf numFmtId="4" fontId="0" fillId="0" borderId="0" xfId="49" applyNumberFormat="1"/>
    <xf numFmtId="177" fontId="0" fillId="0" borderId="0" xfId="49" applyNumberFormat="1"/>
    <xf numFmtId="0" fontId="1" fillId="0" borderId="0" xfId="49" applyFont="1" applyAlignment="1">
      <alignment wrapText="1"/>
    </xf>
    <xf numFmtId="2" fontId="1" fillId="0" borderId="0" xfId="49" applyNumberFormat="1" applyFont="1" applyBorder="1"/>
    <xf numFmtId="2" fontId="1" fillId="0" borderId="0" xfId="49" applyNumberFormat="1" applyFont="1" applyAlignment="1">
      <alignment wrapText="1"/>
    </xf>
    <xf numFmtId="2" fontId="0" fillId="3" borderId="0" xfId="49" applyNumberFormat="1" applyFill="1"/>
    <xf numFmtId="0" fontId="1" fillId="0" borderId="0" xfId="49" applyFont="1"/>
    <xf numFmtId="2" fontId="0" fillId="4" borderId="0" xfId="49" applyNumberFormat="1" applyFill="1"/>
    <xf numFmtId="0" fontId="0" fillId="0" borderId="0" xfId="49" applyAlignment="1">
      <alignment wrapText="1"/>
    </xf>
    <xf numFmtId="2" fontId="0" fillId="0" borderId="0" xfId="49" applyNumberFormat="1" applyAlignment="1">
      <alignment wrapText="1"/>
    </xf>
    <xf numFmtId="2" fontId="1" fillId="0" borderId="0" xfId="49" applyNumberFormat="1" applyFont="1" applyBorder="1" applyAlignment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rud/Dropbox/MOOC_spring2012/ExcelSpreadsheets/Assignment6_cd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ero coupon bond with recovery"/>
      <sheetName val="Pricing"/>
      <sheetName val="Calibration"/>
      <sheetName val="CDS pricing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AJ18"/>
  <sheetViews>
    <sheetView topLeftCell="A3" workbookViewId="0">
      <selection activeCell="C11" sqref="C11"/>
    </sheetView>
  </sheetViews>
  <sheetFormatPr defaultColWidth="8.83333333333333" defaultRowHeight="13.5"/>
  <cols>
    <col min="1" max="1" width="17.5" customWidth="1"/>
    <col min="2" max="2" width="8.5" customWidth="1"/>
    <col min="3" max="3" width="10.6666666666667" style="2" customWidth="1"/>
    <col min="4" max="4" width="12.5" style="2" customWidth="1"/>
    <col min="5" max="5" width="8.5" style="2" customWidth="1"/>
    <col min="6" max="6" width="8.83333333333333" style="2"/>
    <col min="8" max="8" width="15.3333333333333" customWidth="1"/>
    <col min="9" max="9" width="11" customWidth="1"/>
    <col min="10" max="10" width="8.83333333333333" style="2"/>
    <col min="14" max="14" width="15.3333333333333" customWidth="1"/>
    <col min="15" max="15" width="11" customWidth="1"/>
    <col min="16" max="16" width="8.83333333333333" style="2"/>
  </cols>
  <sheetData>
    <row r="2" s="20" customFormat="1" ht="27" spans="2:16">
      <c r="B2" s="8"/>
      <c r="C2" s="21"/>
      <c r="D2" s="21"/>
      <c r="E2" s="22" t="s">
        <v>0</v>
      </c>
      <c r="F2" s="21">
        <v>0.05</v>
      </c>
      <c r="J2" s="21"/>
      <c r="P2" s="21"/>
    </row>
    <row r="3" s="14" customFormat="1" ht="54" spans="3:32">
      <c r="C3" s="16"/>
      <c r="D3" s="16"/>
      <c r="E3" s="16"/>
      <c r="F3" s="16"/>
      <c r="H3" s="14" t="s">
        <v>1</v>
      </c>
      <c r="J3" s="16"/>
      <c r="N3" s="14" t="s">
        <v>2</v>
      </c>
      <c r="P3" s="16"/>
      <c r="T3" s="14" t="s">
        <v>3</v>
      </c>
      <c r="V3" s="16"/>
      <c r="Z3" s="14" t="s">
        <v>4</v>
      </c>
      <c r="AB3" s="16"/>
      <c r="AF3" s="14" t="s">
        <v>5</v>
      </c>
    </row>
    <row r="4" s="20" customFormat="1" ht="54" spans="1:36">
      <c r="A4" s="8" t="s">
        <v>6</v>
      </c>
      <c r="B4" s="8" t="s">
        <v>7</v>
      </c>
      <c r="C4" s="8" t="s">
        <v>8</v>
      </c>
      <c r="D4" s="8" t="s">
        <v>9</v>
      </c>
      <c r="E4" s="22" t="s">
        <v>10</v>
      </c>
      <c r="F4" s="21"/>
      <c r="H4" s="8" t="s">
        <v>11</v>
      </c>
      <c r="I4" s="8" t="s">
        <v>12</v>
      </c>
      <c r="J4" s="8" t="s">
        <v>13</v>
      </c>
      <c r="K4" s="8"/>
      <c r="L4" s="8"/>
      <c r="M4" s="8"/>
      <c r="N4" s="8" t="s">
        <v>11</v>
      </c>
      <c r="O4" s="8" t="s">
        <v>12</v>
      </c>
      <c r="P4" s="8" t="s">
        <v>13</v>
      </c>
      <c r="Q4" s="8"/>
      <c r="R4" s="8"/>
      <c r="S4" s="8"/>
      <c r="T4" s="8" t="s">
        <v>11</v>
      </c>
      <c r="U4" s="8" t="s">
        <v>12</v>
      </c>
      <c r="V4" s="8" t="s">
        <v>13</v>
      </c>
      <c r="W4" s="8"/>
      <c r="X4" s="8"/>
      <c r="Y4" s="8"/>
      <c r="Z4" s="8" t="s">
        <v>11</v>
      </c>
      <c r="AA4" s="8" t="s">
        <v>12</v>
      </c>
      <c r="AB4" s="8" t="s">
        <v>13</v>
      </c>
      <c r="AC4" s="8"/>
      <c r="AD4" s="8"/>
      <c r="AE4" s="8"/>
      <c r="AF4" s="8" t="s">
        <v>11</v>
      </c>
      <c r="AG4" s="8" t="s">
        <v>12</v>
      </c>
      <c r="AH4" s="8" t="s">
        <v>13</v>
      </c>
      <c r="AI4" s="8"/>
      <c r="AJ4" s="8"/>
    </row>
    <row r="5" ht="15" spans="10:36">
      <c r="J5" s="5" t="s">
        <v>14</v>
      </c>
      <c r="K5" s="5"/>
      <c r="L5" s="5"/>
      <c r="M5" s="5"/>
      <c r="P5" s="5" t="s">
        <v>14</v>
      </c>
      <c r="Q5" s="5"/>
      <c r="R5" s="5"/>
      <c r="S5" s="5"/>
      <c r="V5" s="5" t="s">
        <v>14</v>
      </c>
      <c r="W5" s="5"/>
      <c r="X5" s="5"/>
      <c r="Y5" s="5"/>
      <c r="AB5" s="5" t="s">
        <v>14</v>
      </c>
      <c r="AC5" s="5"/>
      <c r="AD5" s="5"/>
      <c r="AE5" s="5"/>
      <c r="AH5" s="5" t="s">
        <v>14</v>
      </c>
      <c r="AI5" s="5"/>
      <c r="AJ5" s="5"/>
    </row>
    <row r="6" spans="1:28">
      <c r="A6">
        <v>0.02</v>
      </c>
      <c r="B6">
        <v>0</v>
      </c>
      <c r="C6" s="2">
        <v>1</v>
      </c>
      <c r="E6" s="2">
        <v>1</v>
      </c>
      <c r="V6" s="2"/>
      <c r="AB6" s="2"/>
    </row>
    <row r="7" spans="1:34">
      <c r="A7">
        <f>A6</f>
        <v>0.02</v>
      </c>
      <c r="B7">
        <v>6</v>
      </c>
      <c r="C7" s="2">
        <f>C6*(1-A6)</f>
        <v>0.98</v>
      </c>
      <c r="D7" s="2">
        <f>C6*A6</f>
        <v>0.02</v>
      </c>
      <c r="E7" s="2">
        <f t="shared" ref="E7:E16" si="0">1/(1+rf/2)^(B7/6)</f>
        <v>0.975609756097561</v>
      </c>
      <c r="H7">
        <v>5</v>
      </c>
      <c r="I7">
        <v>10</v>
      </c>
      <c r="J7" s="2">
        <f>$E7*(H7*$C7+I7*$D7)</f>
        <v>4.97560975609756</v>
      </c>
      <c r="N7">
        <v>2</v>
      </c>
      <c r="O7">
        <v>25</v>
      </c>
      <c r="P7" s="2">
        <f>$E7*(N7*$C7+O7*$D7)</f>
        <v>2.4</v>
      </c>
      <c r="T7">
        <v>5</v>
      </c>
      <c r="U7">
        <v>50</v>
      </c>
      <c r="V7" s="2">
        <f>$E7*(T7*$C7+U7*$D7)</f>
        <v>5.75609756097561</v>
      </c>
      <c r="Z7">
        <v>5</v>
      </c>
      <c r="AA7">
        <v>10</v>
      </c>
      <c r="AB7" s="2">
        <f>$E7*(Z7*$C7+AA7*$D7)</f>
        <v>4.97560975609756</v>
      </c>
      <c r="AF7">
        <v>10</v>
      </c>
      <c r="AG7">
        <v>20</v>
      </c>
      <c r="AH7" s="2">
        <f>$E7*(AF7*$C7+AG7*$D7)</f>
        <v>9.95121951219512</v>
      </c>
    </row>
    <row r="8" spans="1:34">
      <c r="A8">
        <f t="shared" ref="A8:A16" si="1">A7</f>
        <v>0.02</v>
      </c>
      <c r="B8">
        <v>12</v>
      </c>
      <c r="C8" s="2">
        <f t="shared" ref="C8:C16" si="2">C7*(1-A7)</f>
        <v>0.9604</v>
      </c>
      <c r="D8" s="2">
        <f t="shared" ref="D8:D16" si="3">C7*A7</f>
        <v>0.0196</v>
      </c>
      <c r="E8" s="2">
        <f t="shared" si="0"/>
        <v>0.951814396192742</v>
      </c>
      <c r="H8">
        <v>105</v>
      </c>
      <c r="I8">
        <v>10</v>
      </c>
      <c r="J8" s="2">
        <f>$E8*(H8*$C8+I8*$D8)</f>
        <v>96.1694229625223</v>
      </c>
      <c r="N8">
        <v>2</v>
      </c>
      <c r="O8">
        <v>25</v>
      </c>
      <c r="P8" s="2">
        <f>$E8*(N8*$C8+O8*$D8)</f>
        <v>2.29463414634146</v>
      </c>
      <c r="T8">
        <v>5</v>
      </c>
      <c r="U8">
        <v>50</v>
      </c>
      <c r="V8" s="2">
        <f t="shared" ref="V8:V12" si="4">$E8*(T8*$C8+U8*$D8)</f>
        <v>5.50339083878644</v>
      </c>
      <c r="Z8">
        <v>5</v>
      </c>
      <c r="AA8">
        <v>10</v>
      </c>
      <c r="AB8" s="2">
        <f t="shared" ref="AB8:AB14" si="5">$E8*(Z8*$C8+AA8*$D8)</f>
        <v>4.75716835217133</v>
      </c>
      <c r="AF8">
        <v>10</v>
      </c>
      <c r="AG8">
        <v>20</v>
      </c>
      <c r="AH8" s="2">
        <f t="shared" ref="AH8:AH16" si="6">$E8*(AF8*$C8+AG8*$D8)</f>
        <v>9.51433670434265</v>
      </c>
    </row>
    <row r="9" spans="1:34">
      <c r="A9">
        <f t="shared" si="1"/>
        <v>0.02</v>
      </c>
      <c r="B9">
        <v>18</v>
      </c>
      <c r="C9" s="2">
        <f t="shared" si="2"/>
        <v>0.941192</v>
      </c>
      <c r="D9" s="2">
        <f t="shared" si="3"/>
        <v>0.019208</v>
      </c>
      <c r="E9" s="2">
        <f t="shared" si="0"/>
        <v>0.928599410919749</v>
      </c>
      <c r="N9">
        <v>2</v>
      </c>
      <c r="O9">
        <v>25</v>
      </c>
      <c r="P9" s="2">
        <f t="shared" ref="P9:P10" si="7">$E9*(N9*$C9+O9*$D9)</f>
        <v>2.19389411064842</v>
      </c>
      <c r="T9">
        <v>5</v>
      </c>
      <c r="U9">
        <v>50</v>
      </c>
      <c r="V9" s="2">
        <f t="shared" si="4"/>
        <v>5.26177855805923</v>
      </c>
      <c r="Z9">
        <v>5</v>
      </c>
      <c r="AA9">
        <v>10</v>
      </c>
      <c r="AB9" s="2">
        <f t="shared" si="5"/>
        <v>4.54831705866137</v>
      </c>
      <c r="AF9">
        <v>10</v>
      </c>
      <c r="AG9">
        <v>20</v>
      </c>
      <c r="AH9" s="2">
        <f t="shared" si="6"/>
        <v>9.09663411732273</v>
      </c>
    </row>
    <row r="10" spans="1:34">
      <c r="A10">
        <f t="shared" si="1"/>
        <v>0.02</v>
      </c>
      <c r="B10">
        <v>24</v>
      </c>
      <c r="C10" s="2">
        <f t="shared" si="2"/>
        <v>0.92236816</v>
      </c>
      <c r="D10" s="2">
        <f t="shared" si="3"/>
        <v>0.01882384</v>
      </c>
      <c r="E10" s="2">
        <f t="shared" si="0"/>
        <v>0.905950644799755</v>
      </c>
      <c r="N10">
        <v>102</v>
      </c>
      <c r="O10">
        <v>25</v>
      </c>
      <c r="P10" s="2">
        <f t="shared" si="7"/>
        <v>85.6595797377061</v>
      </c>
      <c r="T10">
        <v>5</v>
      </c>
      <c r="U10">
        <v>50</v>
      </c>
      <c r="V10" s="2">
        <f t="shared" si="4"/>
        <v>5.03077364575419</v>
      </c>
      <c r="Z10">
        <v>5</v>
      </c>
      <c r="AA10">
        <v>10</v>
      </c>
      <c r="AB10" s="2">
        <f t="shared" si="5"/>
        <v>4.34863484632989</v>
      </c>
      <c r="AF10">
        <v>10</v>
      </c>
      <c r="AG10">
        <v>20</v>
      </c>
      <c r="AH10" s="2">
        <f t="shared" si="6"/>
        <v>8.69726969265979</v>
      </c>
    </row>
    <row r="11" spans="1:34">
      <c r="A11">
        <f t="shared" si="1"/>
        <v>0.02</v>
      </c>
      <c r="B11">
        <v>30</v>
      </c>
      <c r="C11" s="2">
        <f t="shared" si="2"/>
        <v>0.9039207968</v>
      </c>
      <c r="D11" s="2">
        <f t="shared" si="3"/>
        <v>0.0184473632</v>
      </c>
      <c r="E11" s="2">
        <f t="shared" si="0"/>
        <v>0.883854287609517</v>
      </c>
      <c r="T11">
        <v>5</v>
      </c>
      <c r="U11">
        <v>50</v>
      </c>
      <c r="V11" s="2">
        <f t="shared" si="4"/>
        <v>4.80991041252596</v>
      </c>
      <c r="Z11">
        <v>5</v>
      </c>
      <c r="AA11">
        <v>10</v>
      </c>
      <c r="AB11" s="2">
        <f t="shared" si="5"/>
        <v>4.15771917014956</v>
      </c>
      <c r="AF11">
        <v>10</v>
      </c>
      <c r="AG11">
        <v>20</v>
      </c>
      <c r="AH11" s="2">
        <f t="shared" si="6"/>
        <v>8.31543834029911</v>
      </c>
    </row>
    <row r="12" spans="1:34">
      <c r="A12">
        <f t="shared" si="1"/>
        <v>0.02</v>
      </c>
      <c r="B12">
        <v>36</v>
      </c>
      <c r="C12" s="2">
        <f t="shared" si="2"/>
        <v>0.885842380864</v>
      </c>
      <c r="D12" s="2">
        <f t="shared" si="3"/>
        <v>0.018078415936</v>
      </c>
      <c r="E12" s="2">
        <f t="shared" si="0"/>
        <v>0.862296865960505</v>
      </c>
      <c r="T12">
        <v>105</v>
      </c>
      <c r="U12">
        <v>50</v>
      </c>
      <c r="V12" s="2">
        <f t="shared" si="4"/>
        <v>80.9846544893291</v>
      </c>
      <c r="Z12">
        <v>5</v>
      </c>
      <c r="AA12">
        <v>10</v>
      </c>
      <c r="AB12" s="2">
        <f t="shared" si="5"/>
        <v>3.97518515780153</v>
      </c>
      <c r="AF12">
        <v>10</v>
      </c>
      <c r="AG12">
        <v>20</v>
      </c>
      <c r="AH12" s="2">
        <f t="shared" si="6"/>
        <v>7.95037031560305</v>
      </c>
    </row>
    <row r="13" spans="1:34">
      <c r="A13">
        <f t="shared" si="1"/>
        <v>0.02</v>
      </c>
      <c r="B13">
        <v>42</v>
      </c>
      <c r="C13" s="2">
        <f t="shared" si="2"/>
        <v>0.86812553324672</v>
      </c>
      <c r="D13" s="2">
        <f t="shared" si="3"/>
        <v>0.01771684761728</v>
      </c>
      <c r="E13" s="2">
        <f t="shared" si="0"/>
        <v>0.841265235083419</v>
      </c>
      <c r="V13" s="2"/>
      <c r="Z13">
        <v>5</v>
      </c>
      <c r="AA13">
        <v>10</v>
      </c>
      <c r="AB13" s="2">
        <f t="shared" si="5"/>
        <v>3.80066483380048</v>
      </c>
      <c r="AF13">
        <v>10</v>
      </c>
      <c r="AG13">
        <v>20</v>
      </c>
      <c r="AH13" s="2">
        <f t="shared" si="6"/>
        <v>7.60132966760097</v>
      </c>
    </row>
    <row r="14" spans="1:34">
      <c r="A14">
        <f t="shared" si="1"/>
        <v>0.02</v>
      </c>
      <c r="B14">
        <v>48</v>
      </c>
      <c r="C14" s="2">
        <f t="shared" si="2"/>
        <v>0.850763022581785</v>
      </c>
      <c r="D14" s="2">
        <f t="shared" si="3"/>
        <v>0.0173625106649344</v>
      </c>
      <c r="E14" s="2">
        <f t="shared" si="0"/>
        <v>0.820746570813092</v>
      </c>
      <c r="V14" s="2"/>
      <c r="Z14">
        <v>105</v>
      </c>
      <c r="AA14">
        <v>10</v>
      </c>
      <c r="AB14" s="2">
        <f t="shared" si="5"/>
        <v>73.4598897135406</v>
      </c>
      <c r="AF14">
        <v>10</v>
      </c>
      <c r="AG14">
        <v>20</v>
      </c>
      <c r="AH14" s="2">
        <f t="shared" si="6"/>
        <v>7.26761275536483</v>
      </c>
    </row>
    <row r="15" spans="1:34">
      <c r="A15">
        <f t="shared" si="1"/>
        <v>0.02</v>
      </c>
      <c r="B15">
        <v>54</v>
      </c>
      <c r="C15" s="2">
        <f t="shared" si="2"/>
        <v>0.83374776213015</v>
      </c>
      <c r="D15" s="2">
        <f t="shared" si="3"/>
        <v>0.0170152604516357</v>
      </c>
      <c r="E15" s="2">
        <f t="shared" si="0"/>
        <v>0.80072836176887</v>
      </c>
      <c r="V15" s="2"/>
      <c r="AB15" s="2"/>
      <c r="AF15">
        <v>10</v>
      </c>
      <c r="AG15">
        <v>20</v>
      </c>
      <c r="AH15" s="2">
        <f t="shared" si="6"/>
        <v>6.94854682951954</v>
      </c>
    </row>
    <row r="16" spans="1:34">
      <c r="A16">
        <f t="shared" si="1"/>
        <v>0.02</v>
      </c>
      <c r="B16">
        <v>60</v>
      </c>
      <c r="C16" s="2">
        <f t="shared" si="2"/>
        <v>0.817072806887547</v>
      </c>
      <c r="D16" s="2">
        <f t="shared" si="3"/>
        <v>0.016674955242603</v>
      </c>
      <c r="E16" s="2">
        <f t="shared" si="0"/>
        <v>0.781198401725727</v>
      </c>
      <c r="V16" s="2"/>
      <c r="AB16" s="2"/>
      <c r="AF16">
        <v>110</v>
      </c>
      <c r="AG16">
        <v>20</v>
      </c>
      <c r="AH16" s="2">
        <f t="shared" si="6"/>
        <v>70.473085759439</v>
      </c>
    </row>
    <row r="17" spans="22:28">
      <c r="V17" s="2"/>
      <c r="AB17" s="2"/>
    </row>
    <row r="18" spans="9:34">
      <c r="I18" s="18" t="s">
        <v>15</v>
      </c>
      <c r="J18" s="2">
        <f>SUM(J7:J16)</f>
        <v>101.14503271862</v>
      </c>
      <c r="O18" s="18" t="s">
        <v>15</v>
      </c>
      <c r="P18" s="2">
        <f>SUM(P7:P16)</f>
        <v>92.548107994696</v>
      </c>
      <c r="U18" s="18" t="s">
        <v>15</v>
      </c>
      <c r="V18" s="2">
        <f>SUM(V7:V16)</f>
        <v>107.346605505431</v>
      </c>
      <c r="AA18" s="18" t="s">
        <v>15</v>
      </c>
      <c r="AB18" s="2">
        <f>SUM(AB7:AB16)</f>
        <v>104.023188888552</v>
      </c>
      <c r="AG18" s="18" t="s">
        <v>15</v>
      </c>
      <c r="AH18" s="2">
        <f>SUM(AH7:AH16)</f>
        <v>145.815843694347</v>
      </c>
    </row>
  </sheetData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AJ21"/>
  <sheetViews>
    <sheetView tabSelected="1" topLeftCell="H1" workbookViewId="0">
      <selection activeCell="V20" sqref="V20"/>
    </sheetView>
  </sheetViews>
  <sheetFormatPr defaultColWidth="8.83333333333333" defaultRowHeight="13.5"/>
  <cols>
    <col min="1" max="1" width="12" style="2" customWidth="1"/>
    <col min="2" max="2" width="8.5" customWidth="1"/>
    <col min="3" max="4" width="12.5" style="2" customWidth="1"/>
    <col min="5" max="5" width="7.66666666666667" style="2" customWidth="1"/>
    <col min="6" max="6" width="8.83333333333333" style="2"/>
    <col min="8" max="8" width="15.3333333333333" customWidth="1"/>
    <col min="9" max="9" width="11.6666666666667" customWidth="1"/>
    <col min="10" max="10" width="8.83333333333333" style="2"/>
    <col min="14" max="14" width="15.3333333333333" customWidth="1"/>
    <col min="15" max="15" width="11" customWidth="1"/>
    <col min="16" max="16" width="8.83333333333333" style="2"/>
    <col min="21" max="21" width="13.1666666666667" customWidth="1"/>
    <col min="27" max="27" width="11.6666666666667" customWidth="1"/>
    <col min="33" max="33" width="12.1666666666667" customWidth="1"/>
  </cols>
  <sheetData>
    <row r="2" spans="2:6">
      <c r="B2" s="5"/>
      <c r="E2" s="15" t="s">
        <v>0</v>
      </c>
      <c r="F2" s="2">
        <v>0.05</v>
      </c>
    </row>
    <row r="3" s="14" customFormat="1" ht="54" spans="1:32">
      <c r="A3" s="16"/>
      <c r="C3" s="16"/>
      <c r="D3" s="16"/>
      <c r="E3" s="16"/>
      <c r="F3" s="16"/>
      <c r="H3" s="14" t="s">
        <v>1</v>
      </c>
      <c r="J3" s="16"/>
      <c r="N3" s="14" t="s">
        <v>16</v>
      </c>
      <c r="P3" s="16"/>
      <c r="T3" s="14" t="s">
        <v>3</v>
      </c>
      <c r="V3" s="16"/>
      <c r="Z3" s="14" t="s">
        <v>4</v>
      </c>
      <c r="AB3" s="16"/>
      <c r="AF3" s="14" t="s">
        <v>5</v>
      </c>
    </row>
    <row r="4" spans="1:36">
      <c r="A4" s="15" t="s">
        <v>6</v>
      </c>
      <c r="B4" s="5" t="s">
        <v>7</v>
      </c>
      <c r="C4" s="5" t="s">
        <v>8</v>
      </c>
      <c r="D4" s="5" t="s">
        <v>9</v>
      </c>
      <c r="E4" s="15" t="s">
        <v>10</v>
      </c>
      <c r="H4" s="5" t="s">
        <v>11</v>
      </c>
      <c r="I4" s="5" t="s">
        <v>12</v>
      </c>
      <c r="J4" s="5" t="s">
        <v>13</v>
      </c>
      <c r="K4" s="5"/>
      <c r="L4" s="5"/>
      <c r="M4" s="5"/>
      <c r="N4" s="5" t="s">
        <v>11</v>
      </c>
      <c r="O4" s="5" t="s">
        <v>12</v>
      </c>
      <c r="P4" s="5" t="s">
        <v>13</v>
      </c>
      <c r="Q4" s="5"/>
      <c r="R4" s="5"/>
      <c r="S4" s="5"/>
      <c r="T4" s="5" t="s">
        <v>11</v>
      </c>
      <c r="U4" s="5" t="s">
        <v>12</v>
      </c>
      <c r="V4" s="5" t="s">
        <v>13</v>
      </c>
      <c r="W4" s="5"/>
      <c r="X4" s="5"/>
      <c r="Y4" s="5"/>
      <c r="Z4" s="5" t="s">
        <v>11</v>
      </c>
      <c r="AA4" s="5" t="s">
        <v>12</v>
      </c>
      <c r="AB4" s="5" t="s">
        <v>13</v>
      </c>
      <c r="AC4" s="5"/>
      <c r="AD4" s="5"/>
      <c r="AE4" s="5"/>
      <c r="AF4" s="5" t="s">
        <v>11</v>
      </c>
      <c r="AG4" s="5" t="s">
        <v>12</v>
      </c>
      <c r="AH4" s="5" t="s">
        <v>13</v>
      </c>
      <c r="AI4" s="5"/>
      <c r="AJ4" s="5"/>
    </row>
    <row r="5" ht="15" spans="10:36">
      <c r="J5" s="5" t="s">
        <v>14</v>
      </c>
      <c r="K5" s="5"/>
      <c r="L5" s="5"/>
      <c r="M5" s="5"/>
      <c r="P5" s="5" t="s">
        <v>14</v>
      </c>
      <c r="Q5" s="5"/>
      <c r="R5" s="5"/>
      <c r="S5" s="5"/>
      <c r="V5" s="5" t="s">
        <v>17</v>
      </c>
      <c r="W5" s="5"/>
      <c r="X5" s="5"/>
      <c r="Y5" s="5"/>
      <c r="AB5" s="5" t="s">
        <v>18</v>
      </c>
      <c r="AC5" s="5"/>
      <c r="AD5" s="5"/>
      <c r="AE5" s="5"/>
      <c r="AH5" s="5" t="s">
        <v>14</v>
      </c>
      <c r="AI5" s="5"/>
      <c r="AJ5" s="5"/>
    </row>
    <row r="6" spans="1:28">
      <c r="A6" s="17">
        <v>0.020140573040198</v>
      </c>
      <c r="B6">
        <v>0</v>
      </c>
      <c r="C6" s="2">
        <v>1</v>
      </c>
      <c r="E6" s="2">
        <v>1</v>
      </c>
      <c r="V6" s="2"/>
      <c r="AB6" s="2"/>
    </row>
    <row r="7" spans="1:34">
      <c r="A7" s="2">
        <f t="shared" ref="A7:A11" si="0">A6</f>
        <v>0.020140573040198</v>
      </c>
      <c r="B7">
        <v>6</v>
      </c>
      <c r="C7" s="2">
        <f>C6*(1-A6)</f>
        <v>0.979859426959802</v>
      </c>
      <c r="D7" s="2">
        <f>C6*A6</f>
        <v>0.020140573040198</v>
      </c>
      <c r="E7" s="2">
        <f t="shared" ref="E7:E16" si="1">1/(1+rf/2)^(B7/6)</f>
        <v>0.975609756097561</v>
      </c>
      <c r="H7">
        <v>5</v>
      </c>
      <c r="I7">
        <v>10</v>
      </c>
      <c r="J7" s="2">
        <f>$E7*(H7*$C7+I7*$D7)</f>
        <v>4.97629547824487</v>
      </c>
      <c r="N7">
        <v>2</v>
      </c>
      <c r="O7">
        <v>25</v>
      </c>
      <c r="P7" s="2">
        <f>$E7*(N7*$C7+O7*$D7)</f>
        <v>2.40315432187761</v>
      </c>
      <c r="T7">
        <v>5</v>
      </c>
      <c r="U7">
        <v>50</v>
      </c>
      <c r="V7" s="2">
        <f>$E7*(T7*$C7+U7*$D7)</f>
        <v>5.76226906030138</v>
      </c>
      <c r="Z7">
        <v>5</v>
      </c>
      <c r="AA7">
        <v>10</v>
      </c>
      <c r="AB7" s="2">
        <f>$E7*(Z7*$C7+AA7*$D7)</f>
        <v>4.97629547824487</v>
      </c>
      <c r="AF7">
        <v>10</v>
      </c>
      <c r="AG7">
        <v>20</v>
      </c>
      <c r="AH7" s="2">
        <f>$E7*(AF7*$C7+AG7*$D7)</f>
        <v>9.95259095648974</v>
      </c>
    </row>
    <row r="8" spans="1:34">
      <c r="A8" s="17">
        <v>0.019443103338663</v>
      </c>
      <c r="B8">
        <v>12</v>
      </c>
      <c r="C8" s="2">
        <f t="shared" ref="C8:C16" si="2">C7*(1-A7)</f>
        <v>0.960124496601992</v>
      </c>
      <c r="D8" s="2">
        <f t="shared" ref="D8:D16" si="3">C7*A7</f>
        <v>0.0197349303578105</v>
      </c>
      <c r="E8" s="2">
        <f t="shared" si="1"/>
        <v>0.951814396192742</v>
      </c>
      <c r="H8">
        <v>105</v>
      </c>
      <c r="I8">
        <v>10</v>
      </c>
      <c r="J8" s="2">
        <f>$E8*(H8*$C8+I8*$D8)</f>
        <v>96.1431732985482</v>
      </c>
      <c r="N8">
        <v>2</v>
      </c>
      <c r="O8">
        <v>25</v>
      </c>
      <c r="P8" s="2">
        <f>$E8*(N8*$C8+O8*$D8)</f>
        <v>2.2973204065668</v>
      </c>
      <c r="T8">
        <v>5</v>
      </c>
      <c r="U8">
        <v>50</v>
      </c>
      <c r="V8" s="2">
        <f t="shared" ref="V8:V12" si="4">$E8*(T8*$C8+U8*$D8)</f>
        <v>5.50850113113669</v>
      </c>
      <c r="Z8">
        <v>5</v>
      </c>
      <c r="AA8">
        <v>10</v>
      </c>
      <c r="AB8" s="2">
        <f t="shared" ref="AB8:AB14" si="5">$E8*(Z8*$C8+AA8*$D8)</f>
        <v>4.75714149823968</v>
      </c>
      <c r="AF8">
        <v>10</v>
      </c>
      <c r="AG8">
        <v>20</v>
      </c>
      <c r="AH8" s="2">
        <f t="shared" ref="AH8:AH16" si="6">$E8*(AF8*$C8+AG8*$D8)</f>
        <v>9.51428299647936</v>
      </c>
    </row>
    <row r="9" spans="1:34">
      <c r="A9" s="2">
        <f t="shared" si="0"/>
        <v>0.019443103338663</v>
      </c>
      <c r="B9">
        <v>18</v>
      </c>
      <c r="C9" s="2">
        <f t="shared" si="2"/>
        <v>0.941456696796577</v>
      </c>
      <c r="D9" s="2">
        <f t="shared" si="3"/>
        <v>0.0186677998054143</v>
      </c>
      <c r="E9" s="2">
        <f t="shared" si="1"/>
        <v>0.928599410919749</v>
      </c>
      <c r="N9">
        <v>2</v>
      </c>
      <c r="O9">
        <v>25</v>
      </c>
      <c r="P9" s="2">
        <f t="shared" ref="P9:P10" si="7">$E9*(N9*$C9+O9*$D9)</f>
        <v>2.1818449656654</v>
      </c>
      <c r="T9">
        <v>5</v>
      </c>
      <c r="U9">
        <v>50</v>
      </c>
      <c r="V9" s="2">
        <f t="shared" si="4"/>
        <v>5.23792606538255</v>
      </c>
      <c r="Z9">
        <v>5</v>
      </c>
      <c r="AA9">
        <v>10</v>
      </c>
      <c r="AB9" s="2">
        <f t="shared" si="5"/>
        <v>4.54452974928353</v>
      </c>
      <c r="AF9">
        <v>10</v>
      </c>
      <c r="AG9">
        <v>20</v>
      </c>
      <c r="AH9" s="2">
        <f t="shared" si="6"/>
        <v>9.08905949856705</v>
      </c>
    </row>
    <row r="10" spans="1:34">
      <c r="A10" s="17">
        <v>0.0199765188714693</v>
      </c>
      <c r="B10">
        <v>24</v>
      </c>
      <c r="C10" s="2">
        <f t="shared" si="2"/>
        <v>0.923151856951885</v>
      </c>
      <c r="D10" s="2">
        <f t="shared" si="3"/>
        <v>0.0183048398446922</v>
      </c>
      <c r="E10" s="2">
        <f t="shared" si="1"/>
        <v>0.905950644799755</v>
      </c>
      <c r="N10">
        <v>102</v>
      </c>
      <c r="O10">
        <v>25</v>
      </c>
      <c r="P10" s="2">
        <f t="shared" si="7"/>
        <v>85.7202440819788</v>
      </c>
      <c r="T10">
        <v>5</v>
      </c>
      <c r="U10">
        <v>50</v>
      </c>
      <c r="V10" s="2">
        <f t="shared" si="4"/>
        <v>5.01081417328101</v>
      </c>
      <c r="Z10">
        <v>5</v>
      </c>
      <c r="AA10">
        <v>10</v>
      </c>
      <c r="AB10" s="2">
        <f t="shared" si="5"/>
        <v>4.34748291487081</v>
      </c>
      <c r="AF10">
        <v>10</v>
      </c>
      <c r="AG10">
        <v>20</v>
      </c>
      <c r="AH10" s="2">
        <f t="shared" si="6"/>
        <v>8.69496582974162</v>
      </c>
    </row>
    <row r="11" spans="1:34">
      <c r="A11" s="2">
        <f t="shared" si="0"/>
        <v>0.0199765188714693</v>
      </c>
      <c r="B11">
        <v>30</v>
      </c>
      <c r="C11" s="2">
        <f t="shared" si="2"/>
        <v>0.904710496460254</v>
      </c>
      <c r="D11" s="2">
        <f t="shared" si="3"/>
        <v>0.0184413604916312</v>
      </c>
      <c r="E11" s="2">
        <f t="shared" si="1"/>
        <v>0.883854287609517</v>
      </c>
      <c r="T11">
        <v>5</v>
      </c>
      <c r="U11">
        <v>50</v>
      </c>
      <c r="V11" s="2">
        <f t="shared" si="4"/>
        <v>4.8131350337027</v>
      </c>
      <c r="Z11">
        <v>5</v>
      </c>
      <c r="AA11">
        <v>10</v>
      </c>
      <c r="AB11" s="2">
        <f t="shared" si="5"/>
        <v>4.16115601210746</v>
      </c>
      <c r="AF11">
        <v>10</v>
      </c>
      <c r="AG11">
        <v>20</v>
      </c>
      <c r="AH11" s="2">
        <f t="shared" si="6"/>
        <v>8.32231202421493</v>
      </c>
    </row>
    <row r="12" spans="1:34">
      <c r="A12" s="17">
        <v>0.0201236733961171</v>
      </c>
      <c r="B12">
        <v>36</v>
      </c>
      <c r="C12" s="2">
        <f t="shared" si="2"/>
        <v>0.886637530154499</v>
      </c>
      <c r="D12" s="2">
        <f t="shared" si="3"/>
        <v>0.0180729663057546</v>
      </c>
      <c r="E12" s="2">
        <f t="shared" si="1"/>
        <v>0.862296865960505</v>
      </c>
      <c r="T12">
        <v>105</v>
      </c>
      <c r="U12">
        <v>50</v>
      </c>
      <c r="V12" s="2"/>
      <c r="Z12">
        <v>5</v>
      </c>
      <c r="AA12">
        <v>10</v>
      </c>
      <c r="AB12" s="2">
        <f t="shared" si="5"/>
        <v>3.97856643951656</v>
      </c>
      <c r="AF12">
        <v>10</v>
      </c>
      <c r="AG12">
        <v>20</v>
      </c>
      <c r="AH12" s="2">
        <f t="shared" si="6"/>
        <v>7.95713287903312</v>
      </c>
    </row>
    <row r="13" spans="1:34">
      <c r="A13" s="2">
        <f>A12</f>
        <v>0.0201236733961171</v>
      </c>
      <c r="B13">
        <v>42</v>
      </c>
      <c r="C13" s="2">
        <f t="shared" si="2"/>
        <v>0.86879512607693</v>
      </c>
      <c r="D13" s="2">
        <f t="shared" si="3"/>
        <v>0.0178424040775691</v>
      </c>
      <c r="E13" s="2">
        <f t="shared" si="1"/>
        <v>0.841265235083419</v>
      </c>
      <c r="V13" s="2"/>
      <c r="Z13">
        <v>5</v>
      </c>
      <c r="AA13">
        <v>10</v>
      </c>
      <c r="AB13" s="2">
        <f t="shared" si="5"/>
        <v>3.80453762249988</v>
      </c>
      <c r="AF13">
        <v>10</v>
      </c>
      <c r="AG13">
        <v>20</v>
      </c>
      <c r="AH13" s="2">
        <f t="shared" si="6"/>
        <v>7.60907524499977</v>
      </c>
    </row>
    <row r="14" spans="1:34">
      <c r="A14" s="17">
        <v>0.0194756449031743</v>
      </c>
      <c r="B14">
        <v>48</v>
      </c>
      <c r="C14" s="2">
        <f t="shared" si="2"/>
        <v>0.85131177671162</v>
      </c>
      <c r="D14" s="2">
        <f t="shared" si="3"/>
        <v>0.0174833493653105</v>
      </c>
      <c r="E14" s="2">
        <f t="shared" si="1"/>
        <v>0.820746570813092</v>
      </c>
      <c r="V14" s="2"/>
      <c r="Z14">
        <v>105</v>
      </c>
      <c r="AA14">
        <v>10</v>
      </c>
      <c r="AB14" s="2">
        <f t="shared" si="5"/>
        <v>73.5081722404097</v>
      </c>
      <c r="AF14">
        <v>10</v>
      </c>
      <c r="AG14">
        <v>20</v>
      </c>
      <c r="AH14" s="2">
        <f t="shared" si="6"/>
        <v>7.27410019504675</v>
      </c>
    </row>
    <row r="15" spans="1:34">
      <c r="A15" s="2">
        <f>A14</f>
        <v>0.0194756449031743</v>
      </c>
      <c r="B15">
        <v>54</v>
      </c>
      <c r="C15" s="2">
        <f t="shared" si="2"/>
        <v>0.834731930846494</v>
      </c>
      <c r="D15" s="2">
        <f t="shared" si="3"/>
        <v>0.0165798458651259</v>
      </c>
      <c r="E15" s="2">
        <f t="shared" si="1"/>
        <v>0.80072836176887</v>
      </c>
      <c r="V15" s="2"/>
      <c r="AB15" s="2"/>
      <c r="AF15">
        <v>10</v>
      </c>
      <c r="AG15">
        <v>20</v>
      </c>
      <c r="AH15" s="2">
        <f t="shared" si="6"/>
        <v>6.94945437138804</v>
      </c>
    </row>
    <row r="16" spans="1:34">
      <c r="A16" s="17">
        <v>0.0174791629886728</v>
      </c>
      <c r="B16">
        <v>60</v>
      </c>
      <c r="C16" s="2">
        <f t="shared" si="2"/>
        <v>0.818474988171986</v>
      </c>
      <c r="D16" s="2">
        <f t="shared" si="3"/>
        <v>0.0162569426745073</v>
      </c>
      <c r="E16" s="2">
        <f t="shared" si="1"/>
        <v>0.781198401725727</v>
      </c>
      <c r="V16" s="2"/>
      <c r="AB16" s="2"/>
      <c r="AF16">
        <v>110</v>
      </c>
      <c r="AG16">
        <v>20</v>
      </c>
      <c r="AH16" s="2">
        <f t="shared" si="6"/>
        <v>70.5870467400538</v>
      </c>
    </row>
    <row r="17" spans="22:28">
      <c r="V17" s="2"/>
      <c r="AB17" s="2"/>
    </row>
    <row r="18" spans="9:34">
      <c r="I18" s="18" t="s">
        <v>19</v>
      </c>
      <c r="J18" s="2">
        <f>SUM(J7:J16)</f>
        <v>101.119468776793</v>
      </c>
      <c r="O18" s="18" t="s">
        <v>19</v>
      </c>
      <c r="P18" s="2">
        <f>SUM(P7:P16)</f>
        <v>92.6025637760887</v>
      </c>
      <c r="U18" s="18" t="s">
        <v>19</v>
      </c>
      <c r="V18" s="2">
        <f>SUM(V7:V16)</f>
        <v>26.3326454638043</v>
      </c>
      <c r="AA18" s="18" t="s">
        <v>19</v>
      </c>
      <c r="AB18" s="2">
        <f>SUM(AB7:AB16)</f>
        <v>104.077881955172</v>
      </c>
      <c r="AG18" s="18" t="s">
        <v>19</v>
      </c>
      <c r="AH18" s="2">
        <f>SUM(AH7:AH16)</f>
        <v>145.950020736014</v>
      </c>
    </row>
    <row r="19" spans="9:34">
      <c r="I19" s="18" t="s">
        <v>20</v>
      </c>
      <c r="J19" s="2">
        <f ca="1">Pricing!J18+0.1*RAND()</f>
        <v>101.145103578339</v>
      </c>
      <c r="O19" s="18" t="s">
        <v>20</v>
      </c>
      <c r="P19" s="2">
        <f ca="1">Pricing!P18+0.1*RAND()</f>
        <v>92.6249971764997</v>
      </c>
      <c r="U19" s="18" t="s">
        <v>20</v>
      </c>
      <c r="V19" s="2">
        <f ca="1">Pricing!V18+0.1*RAND()</f>
        <v>107.386111597579</v>
      </c>
      <c r="AA19" s="18" t="s">
        <v>20</v>
      </c>
      <c r="AB19" s="2">
        <f ca="1">Pricing!AB18+0.1*RAND()</f>
        <v>104.103453043686</v>
      </c>
      <c r="AG19" s="18" t="s">
        <v>20</v>
      </c>
      <c r="AH19" s="2">
        <f ca="1">Pricing!AH18+0.1*RAND()</f>
        <v>145.862526599632</v>
      </c>
    </row>
    <row r="20" spans="9:34">
      <c r="I20" s="18" t="s">
        <v>21</v>
      </c>
      <c r="J20" s="2">
        <f ca="1">(J18-J19)^2</f>
        <v>0.000657143050297223</v>
      </c>
      <c r="O20" s="18" t="s">
        <v>21</v>
      </c>
      <c r="P20" s="2">
        <f ca="1">(P18-P19)^2</f>
        <v>0.000503257454000407</v>
      </c>
      <c r="U20" s="18" t="s">
        <v>21</v>
      </c>
      <c r="V20" s="2">
        <f ca="1">(V18-V19)^2</f>
        <v>6569.66437229899</v>
      </c>
      <c r="AA20" s="18" t="s">
        <v>21</v>
      </c>
      <c r="AB20" s="2">
        <f ca="1">(AB18-AB19)^2</f>
        <v>0.000653880567743533</v>
      </c>
      <c r="AG20" s="18" t="s">
        <v>21</v>
      </c>
      <c r="AH20" s="2">
        <f ca="1">(AH18-AH19)^2</f>
        <v>0.00765522390131507</v>
      </c>
    </row>
    <row r="21" spans="9:10">
      <c r="I21" s="18" t="s">
        <v>22</v>
      </c>
      <c r="J21" s="19">
        <f ca="1">J20+P20+V20+AB20+AH20</f>
        <v>6569.67384180396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8"/>
  <sheetViews>
    <sheetView zoomScale="210" zoomScaleNormal="210" workbookViewId="0">
      <selection activeCell="D10" sqref="D10"/>
    </sheetView>
  </sheetViews>
  <sheetFormatPr defaultColWidth="8.83333333333333" defaultRowHeight="13.5"/>
  <cols>
    <col min="1" max="1" width="12.3333333333333" customWidth="1"/>
    <col min="2" max="2" width="11.8333333333333" style="2" customWidth="1"/>
    <col min="3" max="3" width="9.5" style="3" customWidth="1"/>
    <col min="4" max="5" width="10.5" customWidth="1"/>
    <col min="7" max="7" width="8.83333333333333" style="4"/>
    <col min="8" max="8" width="11.5" customWidth="1"/>
    <col min="10" max="10" width="9.66666666666667" customWidth="1"/>
    <col min="11" max="11" width="10.3333333333333" customWidth="1"/>
    <col min="12" max="12" width="10" customWidth="1"/>
  </cols>
  <sheetData>
    <row r="1" spans="1:3">
      <c r="A1" s="5" t="s">
        <v>23</v>
      </c>
      <c r="B1" s="6">
        <v>218.88953946553</v>
      </c>
      <c r="C1"/>
    </row>
    <row r="2" spans="1:3">
      <c r="A2" s="5" t="s">
        <v>24</v>
      </c>
      <c r="B2" s="7">
        <v>1000000</v>
      </c>
      <c r="C2"/>
    </row>
    <row r="3" ht="30" customHeight="1" spans="1:3">
      <c r="A3" s="5" t="s">
        <v>12</v>
      </c>
      <c r="B3" s="6">
        <v>0.45</v>
      </c>
      <c r="C3"/>
    </row>
    <row r="4" ht="30" customHeight="1" spans="1:3">
      <c r="A4" s="5" t="s">
        <v>25</v>
      </c>
      <c r="B4" s="6">
        <v>0.01</v>
      </c>
      <c r="C4"/>
    </row>
    <row r="5" s="1" customFormat="1" ht="81" customHeight="1" spans="1:12">
      <c r="A5" s="8" t="s">
        <v>26</v>
      </c>
      <c r="B5" s="8" t="s">
        <v>27</v>
      </c>
      <c r="C5" s="9" t="s">
        <v>6</v>
      </c>
      <c r="D5" s="8" t="s">
        <v>28</v>
      </c>
      <c r="E5" s="8" t="s">
        <v>29</v>
      </c>
      <c r="F5" s="8" t="s">
        <v>30</v>
      </c>
      <c r="G5" s="8" t="s">
        <v>31</v>
      </c>
      <c r="H5" s="8" t="s">
        <v>32</v>
      </c>
      <c r="I5" s="8" t="s">
        <v>33</v>
      </c>
      <c r="J5" s="8" t="s">
        <v>34</v>
      </c>
      <c r="K5" s="8" t="s">
        <v>35</v>
      </c>
      <c r="L5" s="8" t="s">
        <v>36</v>
      </c>
    </row>
    <row r="6" spans="1:8">
      <c r="A6">
        <v>0</v>
      </c>
      <c r="B6" s="2">
        <v>1</v>
      </c>
      <c r="C6" s="3">
        <f>Calibration!$A$6/2</f>
        <v>0.010070286520099</v>
      </c>
      <c r="D6" s="10">
        <v>100</v>
      </c>
      <c r="E6" s="10"/>
      <c r="F6" s="2"/>
      <c r="H6" s="10"/>
    </row>
    <row r="7" spans="1:12">
      <c r="A7">
        <v>3</v>
      </c>
      <c r="B7" s="2">
        <f t="shared" ref="B7:B14" si="0">1/(1+$B$4/4)^(A7/3)</f>
        <v>0.997506234413965</v>
      </c>
      <c r="C7" s="3">
        <f>Calibration!$A$6/2</f>
        <v>0.010070286520099</v>
      </c>
      <c r="D7" s="10">
        <f t="shared" ref="D7:D14" si="1">D6*(1-C6)</f>
        <v>98.9929713479901</v>
      </c>
      <c r="E7" s="10">
        <f t="shared" ref="E7:E14" si="2">$B$1/4</f>
        <v>54.7223848663826</v>
      </c>
      <c r="F7" s="2">
        <f t="shared" ref="F7:F14" si="3">E7*D7/100</f>
        <v>54.171314771715</v>
      </c>
      <c r="G7" s="4">
        <f t="shared" ref="G7:G14" si="4">F7*B7*N*0.0001</f>
        <v>5403.6224211187</v>
      </c>
      <c r="H7" s="10">
        <f t="shared" ref="H7:H14" si="5">D6*C6</f>
        <v>1.0070286520099</v>
      </c>
      <c r="I7" s="2">
        <f t="shared" ref="I7:I14" si="6">E7/2*H7/100</f>
        <v>0.275535047333801</v>
      </c>
      <c r="J7" s="12">
        <f t="shared" ref="J7:J14" si="7">I7*B7*N*0.0001</f>
        <v>27.4847927515014</v>
      </c>
      <c r="K7" s="13">
        <f t="shared" ref="K7:K14" si="8">(1-$B$3)*H7/100</f>
        <v>0.00553865758605446</v>
      </c>
      <c r="L7" s="12">
        <f t="shared" ref="L7:L14" si="9">K7*B7*N</f>
        <v>5524.84547237352</v>
      </c>
    </row>
    <row r="8" spans="1:12">
      <c r="A8">
        <v>6</v>
      </c>
      <c r="B8" s="2">
        <f t="shared" si="0"/>
        <v>0.995018687694728</v>
      </c>
      <c r="C8" s="3">
        <f>Calibration!$A$6/2</f>
        <v>0.010070286520099</v>
      </c>
      <c r="D8" s="10">
        <f t="shared" si="1"/>
        <v>97.9960837630399</v>
      </c>
      <c r="E8" s="10">
        <f t="shared" si="2"/>
        <v>54.7223848663826</v>
      </c>
      <c r="F8" s="2">
        <f t="shared" si="3"/>
        <v>53.6257941107933</v>
      </c>
      <c r="G8" s="4">
        <f t="shared" si="4"/>
        <v>5335.86672827093</v>
      </c>
      <c r="H8" s="10">
        <f t="shared" si="5"/>
        <v>0.996887584950212</v>
      </c>
      <c r="I8" s="2">
        <f t="shared" si="6"/>
        <v>0.272760330460821</v>
      </c>
      <c r="J8" s="12">
        <f t="shared" si="7"/>
        <v>27.1401626070306</v>
      </c>
      <c r="K8" s="13">
        <f t="shared" si="8"/>
        <v>0.00548288171722617</v>
      </c>
      <c r="L8" s="12">
        <f t="shared" si="9"/>
        <v>5455.5697710598</v>
      </c>
    </row>
    <row r="9" spans="1:12">
      <c r="A9">
        <v>9</v>
      </c>
      <c r="B9" s="2">
        <f t="shared" si="0"/>
        <v>0.992537344333894</v>
      </c>
      <c r="C9" s="3">
        <f>Calibration!$A$6/2</f>
        <v>0.010070286520099</v>
      </c>
      <c r="D9" s="10">
        <f t="shared" si="1"/>
        <v>97.0092351216985</v>
      </c>
      <c r="E9" s="10">
        <f t="shared" si="2"/>
        <v>54.7223848663826</v>
      </c>
      <c r="F9" s="2">
        <f t="shared" si="3"/>
        <v>53.0857669992298</v>
      </c>
      <c r="G9" s="4">
        <f t="shared" si="4"/>
        <v>5268.96061993434</v>
      </c>
      <c r="H9" s="10">
        <f t="shared" si="5"/>
        <v>0.986848641341434</v>
      </c>
      <c r="I9" s="2">
        <f t="shared" si="6"/>
        <v>0.270013555781764</v>
      </c>
      <c r="J9" s="12">
        <f t="shared" si="7"/>
        <v>26.7998537589783</v>
      </c>
      <c r="K9" s="13">
        <f t="shared" si="8"/>
        <v>0.00542766752737789</v>
      </c>
      <c r="L9" s="12">
        <f t="shared" si="9"/>
        <v>5387.16271355096</v>
      </c>
    </row>
    <row r="10" spans="1:12">
      <c r="A10">
        <v>12</v>
      </c>
      <c r="B10" s="2">
        <f t="shared" si="0"/>
        <v>0.990062188861739</v>
      </c>
      <c r="C10" s="3">
        <f>Calibration!$A$8/2</f>
        <v>0.00972155166933149</v>
      </c>
      <c r="D10" s="10">
        <f t="shared" si="1"/>
        <v>96.0323243289273</v>
      </c>
      <c r="E10" s="10">
        <f t="shared" si="2"/>
        <v>54.7223848663826</v>
      </c>
      <c r="F10" s="2">
        <f t="shared" si="3"/>
        <v>52.5511781154084</v>
      </c>
      <c r="G10" s="4">
        <f t="shared" si="4"/>
        <v>5202.89344322043</v>
      </c>
      <c r="H10" s="10">
        <f t="shared" si="5"/>
        <v>0.976910792771155</v>
      </c>
      <c r="I10" s="2">
        <f t="shared" si="6"/>
        <v>0.26729444191073</v>
      </c>
      <c r="J10" s="12">
        <f t="shared" si="7"/>
        <v>26.4638120228715</v>
      </c>
      <c r="K10" s="13">
        <f t="shared" si="8"/>
        <v>0.00537300936024136</v>
      </c>
      <c r="L10" s="12">
        <f t="shared" si="9"/>
        <v>5319.61340797517</v>
      </c>
    </row>
    <row r="11" spans="1:12">
      <c r="A11">
        <v>15</v>
      </c>
      <c r="B11" s="2">
        <f t="shared" si="0"/>
        <v>0.987593205847122</v>
      </c>
      <c r="C11" s="3">
        <f>Calibration!$A$8/2</f>
        <v>0.00972155166933149</v>
      </c>
      <c r="D11" s="10">
        <f t="shared" si="1"/>
        <v>95.0987411260376</v>
      </c>
      <c r="E11" s="10">
        <f t="shared" si="2"/>
        <v>54.7223848663826</v>
      </c>
      <c r="F11" s="2">
        <f t="shared" si="3"/>
        <v>52.0402991220752</v>
      </c>
      <c r="G11" s="4">
        <f t="shared" si="4"/>
        <v>5139.46458432134</v>
      </c>
      <c r="H11" s="10">
        <f t="shared" si="5"/>
        <v>0.933583202889666</v>
      </c>
      <c r="I11" s="2">
        <f t="shared" si="6"/>
        <v>0.255439496666592</v>
      </c>
      <c r="J11" s="12">
        <f t="shared" si="7"/>
        <v>25.2270311412935</v>
      </c>
      <c r="K11" s="13">
        <f t="shared" si="8"/>
        <v>0.00513470761589317</v>
      </c>
      <c r="L11" s="12">
        <f t="shared" si="9"/>
        <v>5071.00235546756</v>
      </c>
    </row>
    <row r="12" spans="1:12">
      <c r="A12">
        <v>18</v>
      </c>
      <c r="B12" s="2">
        <f t="shared" si="0"/>
        <v>0.985130379897378</v>
      </c>
      <c r="C12" s="3">
        <f>Calibration!$A$8/2</f>
        <v>0.00972155166933149</v>
      </c>
      <c r="D12" s="10">
        <f t="shared" si="1"/>
        <v>94.1742338004925</v>
      </c>
      <c r="E12" s="10">
        <f t="shared" si="2"/>
        <v>54.7223848663826</v>
      </c>
      <c r="F12" s="2">
        <f t="shared" si="3"/>
        <v>51.5343866652724</v>
      </c>
      <c r="G12" s="4">
        <f t="shared" si="4"/>
        <v>5076.80899133382</v>
      </c>
      <c r="H12" s="10">
        <f t="shared" si="5"/>
        <v>0.924507325545154</v>
      </c>
      <c r="I12" s="2">
        <f t="shared" si="6"/>
        <v>0.25295622840136</v>
      </c>
      <c r="J12" s="12">
        <f t="shared" si="7"/>
        <v>24.919486538244</v>
      </c>
      <c r="K12" s="13">
        <f t="shared" si="8"/>
        <v>0.00508479029049835</v>
      </c>
      <c r="L12" s="12">
        <f t="shared" si="9"/>
        <v>5009.18139057714</v>
      </c>
    </row>
    <row r="13" spans="1:12">
      <c r="A13">
        <v>21</v>
      </c>
      <c r="B13" s="2">
        <f t="shared" si="0"/>
        <v>0.982673695658233</v>
      </c>
      <c r="C13" s="3">
        <f>Calibration!$A$8/2</f>
        <v>0.00972155166933149</v>
      </c>
      <c r="D13" s="10">
        <f t="shared" si="1"/>
        <v>93.2587141206813</v>
      </c>
      <c r="E13" s="10">
        <f t="shared" si="2"/>
        <v>54.7223848663826</v>
      </c>
      <c r="F13" s="2">
        <f t="shared" si="3"/>
        <v>51.0333924625587</v>
      </c>
      <c r="G13" s="4">
        <f t="shared" si="4"/>
        <v>5014.91723731596</v>
      </c>
      <c r="H13" s="10">
        <f t="shared" si="5"/>
        <v>0.915519679811192</v>
      </c>
      <c r="I13" s="2">
        <f t="shared" si="6"/>
        <v>0.250497101356877</v>
      </c>
      <c r="J13" s="12">
        <f t="shared" si="7"/>
        <v>24.6156912342037</v>
      </c>
      <c r="K13" s="13">
        <f t="shared" si="8"/>
        <v>0.00503535823896155</v>
      </c>
      <c r="L13" s="12">
        <f t="shared" si="9"/>
        <v>4948.11408964348</v>
      </c>
    </row>
    <row r="14" spans="1:12">
      <c r="A14">
        <v>24</v>
      </c>
      <c r="B14" s="2">
        <f t="shared" si="0"/>
        <v>0.980223137813699</v>
      </c>
      <c r="C14" s="3">
        <f>Calibration!$A$9/2</f>
        <v>0.00972155166933149</v>
      </c>
      <c r="D14" s="10">
        <f t="shared" si="1"/>
        <v>92.3520947127417</v>
      </c>
      <c r="E14" s="10">
        <f t="shared" si="2"/>
        <v>54.7223848663826</v>
      </c>
      <c r="F14" s="2">
        <f t="shared" si="3"/>
        <v>50.5372687008727</v>
      </c>
      <c r="G14" s="4">
        <f t="shared" si="4"/>
        <v>4953.78001025034</v>
      </c>
      <c r="H14" s="10">
        <f t="shared" si="5"/>
        <v>0.906619407939617</v>
      </c>
      <c r="I14" s="2">
        <f t="shared" si="6"/>
        <v>0.248061880843018</v>
      </c>
      <c r="J14" s="12">
        <f t="shared" si="7"/>
        <v>24.3155995211911</v>
      </c>
      <c r="K14" s="13">
        <f t="shared" si="8"/>
        <v>0.0049864067436679</v>
      </c>
      <c r="L14" s="12">
        <f t="shared" si="9"/>
        <v>4887.79126469353</v>
      </c>
    </row>
    <row r="16" spans="6:8">
      <c r="F16" s="11" t="s">
        <v>37</v>
      </c>
      <c r="H16" s="12">
        <f>SUM(G7:G14)+SUM(J7:J14)</f>
        <v>41603.2804653412</v>
      </c>
    </row>
    <row r="17" spans="6:8">
      <c r="F17" s="11" t="s">
        <v>38</v>
      </c>
      <c r="H17" s="12">
        <f>SUM(L7:L14)</f>
        <v>41603.2804653412</v>
      </c>
    </row>
    <row r="18" spans="6:8">
      <c r="F18" s="11" t="s">
        <v>39</v>
      </c>
      <c r="H18" s="12">
        <f>H17-H16</f>
        <v>0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Columbia University</Company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Pricing</vt:lpstr>
      <vt:lpstr>Calibration</vt:lpstr>
      <vt:lpstr>CDS pricing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Columbia University</dc:creator>
  <cp:lastModifiedBy>Garud Iyengar</cp:lastModifiedBy>
  <dcterms:created xsi:type="dcterms:W3CDTF">2013-03-23T18:19:00Z</dcterms:created>
  <dcterms:modified xsi:type="dcterms:W3CDTF">2016-01-02T19:01:29Z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