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9735" activeTab="11"/>
  </bookViews>
  <sheets>
    <sheet name="JAN 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</sheets>
  <calcPr calcId="152511"/>
</workbook>
</file>

<file path=xl/calcChain.xml><?xml version="1.0" encoding="utf-8"?>
<calcChain xmlns="http://schemas.openxmlformats.org/spreadsheetml/2006/main">
  <c r="B35" i="12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36"/>
  <c r="B15"/>
  <c r="B11"/>
  <c r="B12"/>
  <c r="B8"/>
  <c r="B7"/>
  <c r="B6"/>
  <c r="B9"/>
  <c r="B13"/>
  <c r="B36" i="11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37"/>
  <c r="B12"/>
  <c r="B13"/>
  <c r="B9"/>
  <c r="B10"/>
  <c r="B14"/>
  <c r="B8"/>
  <c r="B7"/>
  <c r="B6"/>
  <c r="B35" i="10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36"/>
  <c r="B12"/>
  <c r="B13"/>
  <c r="B9"/>
  <c r="B8"/>
  <c r="B10"/>
  <c r="B14"/>
  <c r="B37"/>
  <c r="B38"/>
  <c r="B7"/>
  <c r="B6"/>
  <c r="B34" i="9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35"/>
  <c r="B12"/>
  <c r="B13"/>
  <c r="B9"/>
  <c r="B8"/>
  <c r="B10"/>
  <c r="B7"/>
  <c r="B6"/>
  <c r="B29" i="8"/>
  <c r="B28"/>
  <c r="B27"/>
  <c r="B26"/>
  <c r="B25"/>
  <c r="B24"/>
  <c r="B23"/>
  <c r="B22"/>
  <c r="B21"/>
  <c r="B20"/>
  <c r="B19"/>
  <c r="B18"/>
  <c r="B17"/>
  <c r="B16"/>
  <c r="B15"/>
  <c r="B14"/>
  <c r="B13"/>
  <c r="B30"/>
  <c r="B12"/>
  <c r="B8"/>
  <c r="B9"/>
  <c r="B10"/>
  <c r="B31"/>
  <c r="B32"/>
  <c r="B7"/>
  <c r="B6"/>
  <c r="B32" i="7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33"/>
  <c r="B11"/>
  <c r="B7"/>
  <c r="B6"/>
  <c r="B8"/>
  <c r="B9"/>
  <c r="B34"/>
  <c r="B35"/>
  <c r="B31" i="6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32"/>
  <c r="B8"/>
  <c r="B7"/>
  <c r="B6"/>
  <c r="B9"/>
  <c r="B10"/>
  <c r="B33"/>
  <c r="B34"/>
  <c r="B33" i="5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34"/>
  <c r="B8"/>
  <c r="B7"/>
  <c r="B6"/>
  <c r="B9"/>
  <c r="B10"/>
  <c r="B30" i="4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31"/>
  <c r="B8"/>
  <c r="B9"/>
  <c r="B10"/>
  <c r="B32"/>
  <c r="B33"/>
  <c r="B7"/>
  <c r="B6"/>
  <c r="B30" i="3"/>
  <c r="B29"/>
  <c r="B28"/>
  <c r="B27"/>
  <c r="B26"/>
  <c r="B25"/>
  <c r="B24"/>
  <c r="B23"/>
  <c r="B22"/>
  <c r="B21"/>
  <c r="B20"/>
  <c r="B19"/>
  <c r="B18"/>
  <c r="B17"/>
  <c r="B16"/>
  <c r="B15"/>
  <c r="B14"/>
  <c r="B31"/>
  <c r="B13"/>
  <c r="B12"/>
  <c r="B8"/>
  <c r="B7"/>
  <c r="B9"/>
  <c r="B10"/>
  <c r="B32"/>
  <c r="B33"/>
  <c r="B6"/>
  <c r="B28" i="2"/>
  <c r="B27"/>
  <c r="B26"/>
  <c r="B25"/>
  <c r="B24"/>
  <c r="B23"/>
  <c r="B22"/>
  <c r="B21"/>
  <c r="B20"/>
  <c r="B19"/>
  <c r="B18"/>
  <c r="B17"/>
  <c r="B16"/>
  <c r="B15"/>
  <c r="B14"/>
  <c r="B13"/>
  <c r="B12"/>
  <c r="B11"/>
  <c r="B29"/>
  <c r="B7"/>
  <c r="B6"/>
  <c r="B8"/>
  <c r="B9"/>
  <c r="B30"/>
  <c r="B31"/>
  <c r="B7" i="1"/>
  <c r="B10"/>
  <c r="B11"/>
  <c r="B8"/>
  <c r="B9"/>
  <c r="B13"/>
  <c r="B14"/>
  <c r="B15"/>
  <c r="B16"/>
  <c r="B17"/>
  <c r="B18"/>
  <c r="B19"/>
  <c r="B20"/>
  <c r="B21"/>
  <c r="B22"/>
  <c r="B30"/>
  <c r="B23"/>
  <c r="B24"/>
  <c r="B25"/>
  <c r="B26"/>
  <c r="B27"/>
  <c r="B28"/>
  <c r="B29"/>
  <c r="B31"/>
  <c r="B32"/>
  <c r="B37" i="12"/>
  <c r="B38"/>
  <c r="B38" i="11"/>
  <c r="B39"/>
  <c r="B14" i="9"/>
  <c r="B36"/>
  <c r="B37"/>
  <c r="B35" i="5"/>
  <c r="B36"/>
</calcChain>
</file>

<file path=xl/sharedStrings.xml><?xml version="1.0" encoding="utf-8"?>
<sst xmlns="http://schemas.openxmlformats.org/spreadsheetml/2006/main" count="405" uniqueCount="51">
  <si>
    <t>Total</t>
  </si>
  <si>
    <t>Income</t>
  </si>
  <si>
    <t xml:space="preserve">   Cash Deposit</t>
  </si>
  <si>
    <t xml:space="preserve">   Charter Livery Income</t>
  </si>
  <si>
    <t xml:space="preserve">   Partner Livery Income</t>
  </si>
  <si>
    <t>Total Income</t>
  </si>
  <si>
    <t>Gross Profit</t>
  </si>
  <si>
    <t>Expenses</t>
  </si>
  <si>
    <t xml:space="preserve">   Auto Loan</t>
  </si>
  <si>
    <t xml:space="preserve">   Bank Charges</t>
  </si>
  <si>
    <t xml:space="preserve">   Cash Withdrawal</t>
  </si>
  <si>
    <t xml:space="preserve">   Citations&amp;Tickets</t>
  </si>
  <si>
    <t xml:space="preserve">   Commissions &amp; fees</t>
  </si>
  <si>
    <t xml:space="preserve">   Fastrak</t>
  </si>
  <si>
    <t xml:space="preserve">   GTU</t>
  </si>
  <si>
    <t xml:space="preserve">   Insurance</t>
  </si>
  <si>
    <t xml:space="preserve">   Legal &amp; Professional Fees</t>
  </si>
  <si>
    <t xml:space="preserve">   Office Expenses</t>
  </si>
  <si>
    <t xml:space="preserve">   Owner's Expense</t>
  </si>
  <si>
    <t xml:space="preserve">   Professional Fees</t>
  </si>
  <si>
    <t xml:space="preserve">   Purchases</t>
  </si>
  <si>
    <t xml:space="preserve">   Repair &amp; Maintenance</t>
  </si>
  <si>
    <t xml:space="preserve">   Somapark Rent</t>
  </si>
  <si>
    <t xml:space="preserve">   Taxes &amp; Licenses</t>
  </si>
  <si>
    <t xml:space="preserve">   Utilities</t>
  </si>
  <si>
    <t>Total Expenses</t>
  </si>
  <si>
    <t>Net Operating Income</t>
  </si>
  <si>
    <t>Net Income</t>
  </si>
  <si>
    <t>Profit and Loss</t>
  </si>
  <si>
    <t>January 2014</t>
  </si>
  <si>
    <t>February 2014</t>
  </si>
  <si>
    <t xml:space="preserve">   Auto Registration</t>
  </si>
  <si>
    <t>March 2014</t>
  </si>
  <si>
    <t xml:space="preserve">   Advertising</t>
  </si>
  <si>
    <t xml:space="preserve">   Computer&amp;Software</t>
  </si>
  <si>
    <t>April 2014</t>
  </si>
  <si>
    <t xml:space="preserve">   Company Credit Card Payment</t>
  </si>
  <si>
    <t>May 2014</t>
  </si>
  <si>
    <t xml:space="preserve">   Gasoline Expense</t>
  </si>
  <si>
    <t>June 2014</t>
  </si>
  <si>
    <t>July 2014</t>
  </si>
  <si>
    <t>August 2014</t>
  </si>
  <si>
    <t>September 2014</t>
  </si>
  <si>
    <t xml:space="preserve">   Services</t>
  </si>
  <si>
    <t>Cost of Goods Sold</t>
  </si>
  <si>
    <t xml:space="preserve">   All star Fuels Cost of Goods</t>
  </si>
  <si>
    <t>Total Cost of Goods Sold</t>
  </si>
  <si>
    <t>October 2014</t>
  </si>
  <si>
    <t>November 2014</t>
  </si>
  <si>
    <t xml:space="preserve">   Inspection Labor Fee</t>
  </si>
  <si>
    <t>December 2014</t>
  </si>
</sst>
</file>

<file path=xl/styles.xml><?xml version="1.0" encoding="utf-8"?>
<styleSheet xmlns="http://schemas.openxmlformats.org/spreadsheetml/2006/main">
  <numFmts count="2">
    <numFmt numFmtId="172" formatCode="#,##0.00\ _€"/>
    <numFmt numFmtId="173" formatCode="&quot;$&quot;* #,##0.00\ _€"/>
  </numFmts>
  <fonts count="6">
    <font>
      <sz val="10"/>
      <name val="Arial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72" fontId="3" fillId="0" borderId="0" xfId="0" applyNumberFormat="1" applyFont="1" applyAlignment="1">
      <alignment wrapText="1"/>
    </xf>
    <xf numFmtId="172" fontId="3" fillId="0" borderId="0" xfId="0" applyNumberFormat="1" applyFont="1" applyAlignment="1">
      <alignment horizontal="right" wrapText="1"/>
    </xf>
    <xf numFmtId="173" fontId="2" fillId="0" borderId="2" xfId="0" applyNumberFormat="1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B36"/>
  <sheetViews>
    <sheetView workbookViewId="0">
      <selection activeCell="F30" sqref="F30"/>
    </sheetView>
  </sheetViews>
  <sheetFormatPr defaultRowHeight="12.75"/>
  <cols>
    <col min="1" max="1" width="23.28515625" bestFit="1" customWidth="1"/>
    <col min="2" max="2" width="10.42578125" bestFit="1" customWidth="1"/>
  </cols>
  <sheetData>
    <row r="1" spans="1:2" ht="18">
      <c r="A1" s="9"/>
      <c r="B1" s="8"/>
    </row>
    <row r="2" spans="1:2" ht="18">
      <c r="A2" s="9" t="s">
        <v>28</v>
      </c>
      <c r="B2" s="8"/>
    </row>
    <row r="3" spans="1:2">
      <c r="A3" s="10" t="s">
        <v>29</v>
      </c>
      <c r="B3" s="8"/>
    </row>
    <row r="5" spans="1:2">
      <c r="A5" s="1"/>
      <c r="B5" s="2" t="s">
        <v>0</v>
      </c>
    </row>
    <row r="6" spans="1:2">
      <c r="A6" s="3" t="s">
        <v>1</v>
      </c>
      <c r="B6" s="4"/>
    </row>
    <row r="7" spans="1:2">
      <c r="A7" s="3" t="s">
        <v>2</v>
      </c>
      <c r="B7" s="5">
        <f>11218</f>
        <v>11218</v>
      </c>
    </row>
    <row r="8" spans="1:2">
      <c r="A8" s="3" t="s">
        <v>3</v>
      </c>
      <c r="B8" s="5">
        <f>604.79</f>
        <v>604.79</v>
      </c>
    </row>
    <row r="9" spans="1:2">
      <c r="A9" s="3" t="s">
        <v>4</v>
      </c>
      <c r="B9" s="5">
        <f>113006.87</f>
        <v>113006.87</v>
      </c>
    </row>
    <row r="10" spans="1:2">
      <c r="A10" s="3" t="s">
        <v>5</v>
      </c>
      <c r="B10" s="6">
        <f>((B7)+(B8))+(B9)</f>
        <v>124829.66</v>
      </c>
    </row>
    <row r="11" spans="1:2">
      <c r="A11" s="3" t="s">
        <v>6</v>
      </c>
      <c r="B11" s="6">
        <f>(B10)-(0)</f>
        <v>124829.66</v>
      </c>
    </row>
    <row r="12" spans="1:2">
      <c r="A12" s="3" t="s">
        <v>7</v>
      </c>
      <c r="B12" s="4"/>
    </row>
    <row r="13" spans="1:2">
      <c r="A13" s="3" t="s">
        <v>8</v>
      </c>
      <c r="B13" s="5">
        <f>9637.95</f>
        <v>9637.9500000000007</v>
      </c>
    </row>
    <row r="14" spans="1:2">
      <c r="A14" s="3" t="s">
        <v>9</v>
      </c>
      <c r="B14" s="5">
        <f>680</f>
        <v>680</v>
      </c>
    </row>
    <row r="15" spans="1:2">
      <c r="A15" s="3" t="s">
        <v>10</v>
      </c>
      <c r="B15" s="5">
        <f>15893.16</f>
        <v>15893.16</v>
      </c>
    </row>
    <row r="16" spans="1:2">
      <c r="A16" s="3" t="s">
        <v>11</v>
      </c>
      <c r="B16" s="5">
        <f>2972.5</f>
        <v>2972.5</v>
      </c>
    </row>
    <row r="17" spans="1:2">
      <c r="A17" s="3" t="s">
        <v>12</v>
      </c>
      <c r="B17" s="5">
        <f>51061</f>
        <v>51061</v>
      </c>
    </row>
    <row r="18" spans="1:2">
      <c r="A18" s="3" t="s">
        <v>13</v>
      </c>
      <c r="B18" s="5">
        <f>565</f>
        <v>565</v>
      </c>
    </row>
    <row r="19" spans="1:2">
      <c r="A19" s="3" t="s">
        <v>14</v>
      </c>
      <c r="B19" s="5">
        <f>3416.25</f>
        <v>3416.25</v>
      </c>
    </row>
    <row r="20" spans="1:2">
      <c r="A20" s="3" t="s">
        <v>15</v>
      </c>
      <c r="B20" s="5">
        <f>3419.35</f>
        <v>3419.35</v>
      </c>
    </row>
    <row r="21" spans="1:2">
      <c r="A21" s="3" t="s">
        <v>16</v>
      </c>
      <c r="B21" s="5">
        <f>4679.98</f>
        <v>4679.9799999999996</v>
      </c>
    </row>
    <row r="22" spans="1:2">
      <c r="A22" s="3" t="s">
        <v>17</v>
      </c>
      <c r="B22" s="5">
        <f>235</f>
        <v>235</v>
      </c>
    </row>
    <row r="23" spans="1:2">
      <c r="A23" s="3" t="s">
        <v>18</v>
      </c>
      <c r="B23" s="5">
        <f>-446.71</f>
        <v>-446.71</v>
      </c>
    </row>
    <row r="24" spans="1:2">
      <c r="A24" s="3" t="s">
        <v>19</v>
      </c>
      <c r="B24" s="5">
        <f>1000</f>
        <v>1000</v>
      </c>
    </row>
    <row r="25" spans="1:2">
      <c r="A25" s="3" t="s">
        <v>20</v>
      </c>
      <c r="B25" s="5">
        <f>17000</f>
        <v>17000</v>
      </c>
    </row>
    <row r="26" spans="1:2">
      <c r="A26" s="3" t="s">
        <v>21</v>
      </c>
      <c r="B26" s="5">
        <f>4079.53</f>
        <v>4079.53</v>
      </c>
    </row>
    <row r="27" spans="1:2">
      <c r="A27" s="3" t="s">
        <v>22</v>
      </c>
      <c r="B27" s="5">
        <f>507.1</f>
        <v>507.1</v>
      </c>
    </row>
    <row r="28" spans="1:2">
      <c r="A28" s="3" t="s">
        <v>23</v>
      </c>
      <c r="B28" s="5">
        <f>3255.84</f>
        <v>3255.84</v>
      </c>
    </row>
    <row r="29" spans="1:2">
      <c r="A29" s="3" t="s">
        <v>24</v>
      </c>
      <c r="B29" s="5">
        <f>329.13</f>
        <v>329.13</v>
      </c>
    </row>
    <row r="30" spans="1:2">
      <c r="A30" s="3" t="s">
        <v>25</v>
      </c>
      <c r="B30" s="6">
        <f>((((((((((((((((B13)+(B14))+(B15))+(B16))+(B17))+(B18))+(B19))+(B20))+(B21))+(B22))+(B23))+(B24))+(B25))+(B26))+(B27))+(B28))+(B29)</f>
        <v>118285.08</v>
      </c>
    </row>
    <row r="31" spans="1:2">
      <c r="A31" s="3" t="s">
        <v>26</v>
      </c>
      <c r="B31" s="6">
        <f>(B11)-(B30)</f>
        <v>6544.5800000000017</v>
      </c>
    </row>
    <row r="32" spans="1:2">
      <c r="A32" s="3" t="s">
        <v>27</v>
      </c>
      <c r="B32" s="6">
        <f>(B31)+(0)</f>
        <v>6544.5800000000017</v>
      </c>
    </row>
    <row r="33" spans="1:2">
      <c r="A33" s="3"/>
      <c r="B33" s="4"/>
    </row>
    <row r="36" spans="1:2">
      <c r="A36" s="7"/>
      <c r="B36" s="8"/>
    </row>
  </sheetData>
  <mergeCells count="4">
    <mergeCell ref="A36:B36"/>
    <mergeCell ref="A1:B1"/>
    <mergeCell ref="A2:B2"/>
    <mergeCell ref="A3:B3"/>
  </mergeCells>
  <pageMargins left="0.75" right="0.75" top="1" bottom="1" header="0.5" footer="0.5"/>
  <pageSetup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42"/>
  <sheetViews>
    <sheetView topLeftCell="A16" workbookViewId="0">
      <selection activeCell="A42" sqref="A42:IV42"/>
    </sheetView>
  </sheetViews>
  <sheetFormatPr defaultRowHeight="12.75"/>
  <cols>
    <col min="1" max="1" width="27.42578125" customWidth="1"/>
    <col min="2" max="2" width="13.7109375" customWidth="1"/>
  </cols>
  <sheetData>
    <row r="1" spans="1:2" ht="18">
      <c r="A1" s="9" t="s">
        <v>28</v>
      </c>
      <c r="B1" s="8"/>
    </row>
    <row r="2" spans="1:2">
      <c r="A2" s="10" t="s">
        <v>47</v>
      </c>
      <c r="B2" s="8"/>
    </row>
    <row r="4" spans="1:2">
      <c r="A4" s="1"/>
      <c r="B4" s="2" t="s">
        <v>0</v>
      </c>
    </row>
    <row r="5" spans="1:2">
      <c r="A5" s="3" t="s">
        <v>1</v>
      </c>
      <c r="B5" s="4"/>
    </row>
    <row r="6" spans="1:2">
      <c r="A6" s="3" t="s">
        <v>2</v>
      </c>
      <c r="B6" s="5">
        <f>8800</f>
        <v>8800</v>
      </c>
    </row>
    <row r="7" spans="1:2">
      <c r="A7" s="3" t="s">
        <v>3</v>
      </c>
      <c r="B7" s="5">
        <f>1211.63</f>
        <v>1211.6300000000001</v>
      </c>
    </row>
    <row r="8" spans="1:2">
      <c r="A8" s="3" t="s">
        <v>4</v>
      </c>
      <c r="B8" s="5">
        <f>253250.16</f>
        <v>253250.16</v>
      </c>
    </row>
    <row r="9" spans="1:2">
      <c r="A9" s="3" t="s">
        <v>43</v>
      </c>
      <c r="B9" s="5">
        <f>506.25</f>
        <v>506.25</v>
      </c>
    </row>
    <row r="10" spans="1:2">
      <c r="A10" s="3" t="s">
        <v>5</v>
      </c>
      <c r="B10" s="6">
        <f>(((B6)+(B7))+(B8))+(B9)</f>
        <v>263768.03999999998</v>
      </c>
    </row>
    <row r="11" spans="1:2">
      <c r="A11" s="3" t="s">
        <v>44</v>
      </c>
      <c r="B11" s="4"/>
    </row>
    <row r="12" spans="1:2">
      <c r="A12" s="3" t="s">
        <v>45</v>
      </c>
      <c r="B12" s="5">
        <f>90</f>
        <v>90</v>
      </c>
    </row>
    <row r="13" spans="1:2">
      <c r="A13" s="3" t="s">
        <v>46</v>
      </c>
      <c r="B13" s="6">
        <f>B12</f>
        <v>90</v>
      </c>
    </row>
    <row r="14" spans="1:2">
      <c r="A14" s="3" t="s">
        <v>6</v>
      </c>
      <c r="B14" s="6">
        <f>(B10)-(B13)</f>
        <v>263678.03999999998</v>
      </c>
    </row>
    <row r="15" spans="1:2">
      <c r="A15" s="3" t="s">
        <v>7</v>
      </c>
      <c r="B15" s="4"/>
    </row>
    <row r="16" spans="1:2">
      <c r="A16" s="3" t="s">
        <v>8</v>
      </c>
      <c r="B16" s="5">
        <f>11981.53</f>
        <v>11981.53</v>
      </c>
    </row>
    <row r="17" spans="1:2">
      <c r="A17" s="3" t="s">
        <v>31</v>
      </c>
      <c r="B17" s="5">
        <f>1738</f>
        <v>1738</v>
      </c>
    </row>
    <row r="18" spans="1:2">
      <c r="A18" s="3" t="s">
        <v>9</v>
      </c>
      <c r="B18" s="5">
        <f>1049.09</f>
        <v>1049.0899999999999</v>
      </c>
    </row>
    <row r="19" spans="1:2">
      <c r="A19" s="3" t="s">
        <v>10</v>
      </c>
      <c r="B19" s="5">
        <f>1439.13</f>
        <v>1439.13</v>
      </c>
    </row>
    <row r="20" spans="1:2">
      <c r="A20" s="3" t="s">
        <v>11</v>
      </c>
      <c r="B20" s="5">
        <f>2075.85</f>
        <v>2075.85</v>
      </c>
    </row>
    <row r="21" spans="1:2">
      <c r="A21" s="3" t="s">
        <v>12</v>
      </c>
      <c r="B21" s="5">
        <f>136619.79</f>
        <v>136619.79</v>
      </c>
    </row>
    <row r="22" spans="1:2">
      <c r="A22" s="3" t="s">
        <v>36</v>
      </c>
      <c r="B22" s="5">
        <f>3117.67</f>
        <v>3117.67</v>
      </c>
    </row>
    <row r="23" spans="1:2">
      <c r="A23" s="3" t="s">
        <v>34</v>
      </c>
      <c r="B23" s="5">
        <f>819.04</f>
        <v>819.04</v>
      </c>
    </row>
    <row r="24" spans="1:2">
      <c r="A24" s="3" t="s">
        <v>13</v>
      </c>
      <c r="B24" s="5">
        <f>3290</f>
        <v>3290</v>
      </c>
    </row>
    <row r="25" spans="1:2">
      <c r="A25" s="3" t="s">
        <v>38</v>
      </c>
      <c r="B25" s="5">
        <f>7074.3</f>
        <v>7074.3</v>
      </c>
    </row>
    <row r="26" spans="1:2">
      <c r="A26" s="3" t="s">
        <v>14</v>
      </c>
      <c r="B26" s="5">
        <f>12045.4</f>
        <v>12045.4</v>
      </c>
    </row>
    <row r="27" spans="1:2">
      <c r="A27" s="3" t="s">
        <v>16</v>
      </c>
      <c r="B27" s="5">
        <f>317.9</f>
        <v>317.89999999999998</v>
      </c>
    </row>
    <row r="28" spans="1:2">
      <c r="A28" s="3" t="s">
        <v>17</v>
      </c>
      <c r="B28" s="5">
        <f>980</f>
        <v>980</v>
      </c>
    </row>
    <row r="29" spans="1:2">
      <c r="A29" s="3" t="s">
        <v>18</v>
      </c>
      <c r="B29" s="5">
        <f>9668.21</f>
        <v>9668.2099999999991</v>
      </c>
    </row>
    <row r="30" spans="1:2">
      <c r="A30" s="3" t="s">
        <v>19</v>
      </c>
      <c r="B30" s="5">
        <f>21185.15</f>
        <v>21185.15</v>
      </c>
    </row>
    <row r="31" spans="1:2">
      <c r="A31" s="3" t="s">
        <v>20</v>
      </c>
      <c r="B31" s="5">
        <f>11729.06</f>
        <v>11729.06</v>
      </c>
    </row>
    <row r="32" spans="1:2">
      <c r="A32" s="3" t="s">
        <v>21</v>
      </c>
      <c r="B32" s="5">
        <f>16059.21</f>
        <v>16059.21</v>
      </c>
    </row>
    <row r="33" spans="1:2">
      <c r="A33" s="3" t="s">
        <v>22</v>
      </c>
      <c r="B33" s="5">
        <f>1000</f>
        <v>1000</v>
      </c>
    </row>
    <row r="34" spans="1:2">
      <c r="A34" s="3" t="s">
        <v>23</v>
      </c>
      <c r="B34" s="5">
        <f>3486</f>
        <v>3486</v>
      </c>
    </row>
    <row r="35" spans="1:2">
      <c r="A35" s="3" t="s">
        <v>24</v>
      </c>
      <c r="B35" s="5">
        <f>505.39</f>
        <v>505.39</v>
      </c>
    </row>
    <row r="36" spans="1:2">
      <c r="A36" s="3" t="s">
        <v>25</v>
      </c>
      <c r="B36" s="6">
        <f>(((((((((((((((((((B16)+(B17))+(B18))+(B19))+(B20))+(B21))+(B22))+(B23))+(B24))+(B25))+(B26))+(B27))+(B28))+(B29))+(B30))+(B31))+(B32))+(B33))+(B34))+(B35)</f>
        <v>246180.72</v>
      </c>
    </row>
    <row r="37" spans="1:2">
      <c r="A37" s="3" t="s">
        <v>26</v>
      </c>
      <c r="B37" s="6">
        <f>(B14)-(B36)</f>
        <v>17497.319999999978</v>
      </c>
    </row>
    <row r="38" spans="1:2">
      <c r="A38" s="3" t="s">
        <v>27</v>
      </c>
      <c r="B38" s="6">
        <f>(B37)+(0)</f>
        <v>17497.319999999978</v>
      </c>
    </row>
    <row r="39" spans="1:2">
      <c r="A39" s="3"/>
      <c r="B39" s="4"/>
    </row>
    <row r="42" spans="1:2">
      <c r="A42" s="7"/>
      <c r="B42" s="8"/>
    </row>
  </sheetData>
  <mergeCells count="3">
    <mergeCell ref="A1:B1"/>
    <mergeCell ref="A2:B2"/>
    <mergeCell ref="A42:B4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3"/>
  <sheetViews>
    <sheetView topLeftCell="A16" workbookViewId="0">
      <selection activeCell="A43" sqref="A43:IV43"/>
    </sheetView>
  </sheetViews>
  <sheetFormatPr defaultRowHeight="12.75"/>
  <cols>
    <col min="1" max="1" width="27.42578125" customWidth="1"/>
    <col min="2" max="2" width="13.7109375" customWidth="1"/>
  </cols>
  <sheetData>
    <row r="1" spans="1:2" ht="18">
      <c r="A1" s="9" t="s">
        <v>28</v>
      </c>
      <c r="B1" s="8"/>
    </row>
    <row r="2" spans="1:2">
      <c r="A2" s="10" t="s">
        <v>48</v>
      </c>
      <c r="B2" s="8"/>
    </row>
    <row r="4" spans="1:2">
      <c r="A4" s="1"/>
      <c r="B4" s="2" t="s">
        <v>0</v>
      </c>
    </row>
    <row r="5" spans="1:2">
      <c r="A5" s="3" t="s">
        <v>1</v>
      </c>
      <c r="B5" s="4"/>
    </row>
    <row r="6" spans="1:2">
      <c r="A6" s="3" t="s">
        <v>2</v>
      </c>
      <c r="B6" s="5">
        <f>19476.7</f>
        <v>19476.7</v>
      </c>
    </row>
    <row r="7" spans="1:2">
      <c r="A7" s="3" t="s">
        <v>3</v>
      </c>
      <c r="B7" s="5">
        <f>144.6</f>
        <v>144.6</v>
      </c>
    </row>
    <row r="8" spans="1:2">
      <c r="A8" s="3" t="s">
        <v>4</v>
      </c>
      <c r="B8" s="5">
        <f>180455.44</f>
        <v>180455.44</v>
      </c>
    </row>
    <row r="9" spans="1:2">
      <c r="A9" s="3" t="s">
        <v>43</v>
      </c>
      <c r="B9" s="5">
        <f>68.55</f>
        <v>68.55</v>
      </c>
    </row>
    <row r="10" spans="1:2">
      <c r="A10" s="3" t="s">
        <v>5</v>
      </c>
      <c r="B10" s="6">
        <f>(((B6)+(B7))+(B8))+(B9)</f>
        <v>200145.28999999998</v>
      </c>
    </row>
    <row r="11" spans="1:2">
      <c r="A11" s="3" t="s">
        <v>44</v>
      </c>
      <c r="B11" s="4"/>
    </row>
    <row r="12" spans="1:2">
      <c r="A12" s="3" t="s">
        <v>45</v>
      </c>
      <c r="B12" s="5">
        <f>80.17</f>
        <v>80.17</v>
      </c>
    </row>
    <row r="13" spans="1:2">
      <c r="A13" s="3" t="s">
        <v>46</v>
      </c>
      <c r="B13" s="6">
        <f>B12</f>
        <v>80.17</v>
      </c>
    </row>
    <row r="14" spans="1:2">
      <c r="A14" s="3" t="s">
        <v>6</v>
      </c>
      <c r="B14" s="6">
        <f>(B10)-(B13)</f>
        <v>200065.11999999997</v>
      </c>
    </row>
    <row r="15" spans="1:2">
      <c r="A15" s="3" t="s">
        <v>7</v>
      </c>
      <c r="B15" s="4"/>
    </row>
    <row r="16" spans="1:2">
      <c r="A16" s="3" t="s">
        <v>8</v>
      </c>
      <c r="B16" s="5">
        <f>13477.89</f>
        <v>13477.89</v>
      </c>
    </row>
    <row r="17" spans="1:2">
      <c r="A17" s="3" t="s">
        <v>31</v>
      </c>
      <c r="B17" s="5">
        <f>596</f>
        <v>596</v>
      </c>
    </row>
    <row r="18" spans="1:2">
      <c r="A18" s="3" t="s">
        <v>9</v>
      </c>
      <c r="B18" s="5">
        <f>394.68</f>
        <v>394.68</v>
      </c>
    </row>
    <row r="19" spans="1:2">
      <c r="A19" s="3" t="s">
        <v>10</v>
      </c>
      <c r="B19" s="5">
        <f>450</f>
        <v>450</v>
      </c>
    </row>
    <row r="20" spans="1:2">
      <c r="A20" s="3" t="s">
        <v>11</v>
      </c>
      <c r="B20" s="5">
        <f>3200.55</f>
        <v>3200.55</v>
      </c>
    </row>
    <row r="21" spans="1:2">
      <c r="A21" s="3" t="s">
        <v>12</v>
      </c>
      <c r="B21" s="5">
        <f>98187.04</f>
        <v>98187.04</v>
      </c>
    </row>
    <row r="22" spans="1:2">
      <c r="A22" s="3" t="s">
        <v>36</v>
      </c>
      <c r="B22" s="5">
        <f>0</f>
        <v>0</v>
      </c>
    </row>
    <row r="23" spans="1:2">
      <c r="A23" s="3" t="s">
        <v>34</v>
      </c>
      <c r="B23" s="5">
        <f>775.66</f>
        <v>775.66</v>
      </c>
    </row>
    <row r="24" spans="1:2">
      <c r="A24" s="3" t="s">
        <v>13</v>
      </c>
      <c r="B24" s="5">
        <f>1645</f>
        <v>1645</v>
      </c>
    </row>
    <row r="25" spans="1:2">
      <c r="A25" s="3" t="s">
        <v>38</v>
      </c>
      <c r="B25" s="5">
        <f>9997</f>
        <v>9997</v>
      </c>
    </row>
    <row r="26" spans="1:2">
      <c r="A26" s="3" t="s">
        <v>14</v>
      </c>
      <c r="B26" s="5">
        <f>750</f>
        <v>750</v>
      </c>
    </row>
    <row r="27" spans="1:2">
      <c r="A27" s="3" t="s">
        <v>49</v>
      </c>
      <c r="B27" s="5">
        <f>864</f>
        <v>864</v>
      </c>
    </row>
    <row r="28" spans="1:2">
      <c r="A28" s="3" t="s">
        <v>15</v>
      </c>
      <c r="B28" s="5">
        <f>4199.19</f>
        <v>4199.1899999999996</v>
      </c>
    </row>
    <row r="29" spans="1:2">
      <c r="A29" s="3" t="s">
        <v>17</v>
      </c>
      <c r="B29" s="5">
        <f>1538.04</f>
        <v>1538.04</v>
      </c>
    </row>
    <row r="30" spans="1:2">
      <c r="A30" s="3" t="s">
        <v>18</v>
      </c>
      <c r="B30" s="5">
        <f>17446.63</f>
        <v>17446.63</v>
      </c>
    </row>
    <row r="31" spans="1:2">
      <c r="A31" s="3" t="s">
        <v>19</v>
      </c>
      <c r="B31" s="5">
        <f>14628</f>
        <v>14628</v>
      </c>
    </row>
    <row r="32" spans="1:2">
      <c r="A32" s="3" t="s">
        <v>20</v>
      </c>
      <c r="B32" s="5">
        <f>4500</f>
        <v>4500</v>
      </c>
    </row>
    <row r="33" spans="1:2">
      <c r="A33" s="3" t="s">
        <v>21</v>
      </c>
      <c r="B33" s="5">
        <f>5280</f>
        <v>5280</v>
      </c>
    </row>
    <row r="34" spans="1:2">
      <c r="A34" s="3" t="s">
        <v>22</v>
      </c>
      <c r="B34" s="5">
        <f>760</f>
        <v>760</v>
      </c>
    </row>
    <row r="35" spans="1:2">
      <c r="A35" s="3" t="s">
        <v>23</v>
      </c>
      <c r="B35" s="5">
        <f>1839.42</f>
        <v>1839.42</v>
      </c>
    </row>
    <row r="36" spans="1:2">
      <c r="A36" s="3" t="s">
        <v>24</v>
      </c>
      <c r="B36" s="5">
        <f>1920.82</f>
        <v>1920.82</v>
      </c>
    </row>
    <row r="37" spans="1:2">
      <c r="A37" s="3" t="s">
        <v>25</v>
      </c>
      <c r="B37" s="6">
        <f>((((((((((((((((((((B16)+(B17))+(B18))+(B19))+(B20))+(B21))+(B22))+(B23))+(B24))+(B25))+(B26))+(B27))+(B28))+(B29))+(B30))+(B31))+(B32))+(B33))+(B34))+(B35))+(B36)</f>
        <v>182449.92000000001</v>
      </c>
    </row>
    <row r="38" spans="1:2">
      <c r="A38" s="3" t="s">
        <v>26</v>
      </c>
      <c r="B38" s="6">
        <f>(B14)-(B37)</f>
        <v>17615.199999999953</v>
      </c>
    </row>
    <row r="39" spans="1:2">
      <c r="A39" s="3" t="s">
        <v>27</v>
      </c>
      <c r="B39" s="6">
        <f>(B38)+(0)</f>
        <v>17615.199999999953</v>
      </c>
    </row>
    <row r="40" spans="1:2">
      <c r="A40" s="3"/>
      <c r="B40" s="4"/>
    </row>
    <row r="43" spans="1:2">
      <c r="A43" s="7"/>
      <c r="B43" s="8"/>
    </row>
  </sheetData>
  <mergeCells count="3">
    <mergeCell ref="A1:B1"/>
    <mergeCell ref="A2:B2"/>
    <mergeCell ref="A43:B4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42"/>
  <sheetViews>
    <sheetView tabSelected="1" topLeftCell="A4" workbookViewId="0">
      <selection activeCell="A42" sqref="A42:IV42"/>
    </sheetView>
  </sheetViews>
  <sheetFormatPr defaultRowHeight="12.75"/>
  <cols>
    <col min="1" max="1" width="27.42578125" customWidth="1"/>
    <col min="2" max="2" width="13.7109375" customWidth="1"/>
  </cols>
  <sheetData>
    <row r="1" spans="1:2" ht="18">
      <c r="A1" s="9" t="s">
        <v>28</v>
      </c>
      <c r="B1" s="8"/>
    </row>
    <row r="2" spans="1:2">
      <c r="A2" s="10" t="s">
        <v>50</v>
      </c>
      <c r="B2" s="8"/>
    </row>
    <row r="4" spans="1:2">
      <c r="A4" s="1"/>
      <c r="B4" s="2" t="s">
        <v>0</v>
      </c>
    </row>
    <row r="5" spans="1:2">
      <c r="A5" s="3" t="s">
        <v>1</v>
      </c>
      <c r="B5" s="4"/>
    </row>
    <row r="6" spans="1:2">
      <c r="A6" s="3" t="s">
        <v>2</v>
      </c>
      <c r="B6" s="5">
        <f>951</f>
        <v>951</v>
      </c>
    </row>
    <row r="7" spans="1:2">
      <c r="A7" s="3" t="s">
        <v>3</v>
      </c>
      <c r="B7" s="5">
        <f>5089.92</f>
        <v>5089.92</v>
      </c>
    </row>
    <row r="8" spans="1:2">
      <c r="A8" s="3" t="s">
        <v>4</v>
      </c>
      <c r="B8" s="5">
        <f>183689.34</f>
        <v>183689.34</v>
      </c>
    </row>
    <row r="9" spans="1:2">
      <c r="A9" s="3" t="s">
        <v>5</v>
      </c>
      <c r="B9" s="6">
        <f>((B6)+(B7))+(B8)</f>
        <v>189730.26</v>
      </c>
    </row>
    <row r="10" spans="1:2">
      <c r="A10" s="3" t="s">
        <v>44</v>
      </c>
      <c r="B10" s="4"/>
    </row>
    <row r="11" spans="1:2">
      <c r="A11" s="3" t="s">
        <v>45</v>
      </c>
      <c r="B11" s="5">
        <f>201.38</f>
        <v>201.38</v>
      </c>
    </row>
    <row r="12" spans="1:2">
      <c r="A12" s="3" t="s">
        <v>46</v>
      </c>
      <c r="B12" s="6">
        <f>B11</f>
        <v>201.38</v>
      </c>
    </row>
    <row r="13" spans="1:2">
      <c r="A13" s="3" t="s">
        <v>6</v>
      </c>
      <c r="B13" s="6">
        <f>(B9)-(B12)</f>
        <v>189528.88</v>
      </c>
    </row>
    <row r="14" spans="1:2">
      <c r="A14" s="3" t="s">
        <v>7</v>
      </c>
      <c r="B14" s="4"/>
    </row>
    <row r="15" spans="1:2">
      <c r="A15" s="3" t="s">
        <v>8</v>
      </c>
      <c r="B15" s="5">
        <f>14634.2</f>
        <v>14634.2</v>
      </c>
    </row>
    <row r="16" spans="1:2">
      <c r="A16" s="3" t="s">
        <v>31</v>
      </c>
      <c r="B16" s="5">
        <f>264</f>
        <v>264</v>
      </c>
    </row>
    <row r="17" spans="1:2">
      <c r="A17" s="3" t="s">
        <v>9</v>
      </c>
      <c r="B17" s="5">
        <f>446.04</f>
        <v>446.04</v>
      </c>
    </row>
    <row r="18" spans="1:2">
      <c r="A18" s="3" t="s">
        <v>10</v>
      </c>
      <c r="B18" s="5">
        <f>20000</f>
        <v>20000</v>
      </c>
    </row>
    <row r="19" spans="1:2">
      <c r="A19" s="3" t="s">
        <v>11</v>
      </c>
      <c r="B19" s="5">
        <f>2485.08</f>
        <v>2485.08</v>
      </c>
    </row>
    <row r="20" spans="1:2">
      <c r="A20" s="3" t="s">
        <v>12</v>
      </c>
      <c r="B20" s="5">
        <f>104918.82</f>
        <v>104918.82</v>
      </c>
    </row>
    <row r="21" spans="1:2">
      <c r="A21" s="3" t="s">
        <v>36</v>
      </c>
      <c r="B21" s="5">
        <f>-1000</f>
        <v>-1000</v>
      </c>
    </row>
    <row r="22" spans="1:2">
      <c r="A22" s="3" t="s">
        <v>34</v>
      </c>
      <c r="B22" s="5">
        <f>2465.79</f>
        <v>2465.79</v>
      </c>
    </row>
    <row r="23" spans="1:2">
      <c r="A23" s="3" t="s">
        <v>13</v>
      </c>
      <c r="B23" s="5">
        <f>3290</f>
        <v>3290</v>
      </c>
    </row>
    <row r="24" spans="1:2">
      <c r="A24" s="3" t="s">
        <v>38</v>
      </c>
      <c r="B24" s="5">
        <f>4359.12</f>
        <v>4359.12</v>
      </c>
    </row>
    <row r="25" spans="1:2">
      <c r="A25" s="3" t="s">
        <v>14</v>
      </c>
      <c r="B25" s="5">
        <f>4814.65</f>
        <v>4814.6499999999996</v>
      </c>
    </row>
    <row r="26" spans="1:2">
      <c r="A26" s="3" t="s">
        <v>49</v>
      </c>
      <c r="B26" s="5">
        <f>4650</f>
        <v>4650</v>
      </c>
    </row>
    <row r="27" spans="1:2">
      <c r="A27" s="3" t="s">
        <v>15</v>
      </c>
      <c r="B27" s="5">
        <f>13856.32</f>
        <v>13856.32</v>
      </c>
    </row>
    <row r="28" spans="1:2">
      <c r="A28" s="3" t="s">
        <v>16</v>
      </c>
      <c r="B28" s="5">
        <f>2338.89</f>
        <v>2338.89</v>
      </c>
    </row>
    <row r="29" spans="1:2">
      <c r="A29" s="3" t="s">
        <v>17</v>
      </c>
      <c r="B29" s="5">
        <f>1200</f>
        <v>1200</v>
      </c>
    </row>
    <row r="30" spans="1:2">
      <c r="A30" s="3" t="s">
        <v>18</v>
      </c>
      <c r="B30" s="5">
        <f>13055.95</f>
        <v>13055.95</v>
      </c>
    </row>
    <row r="31" spans="1:2">
      <c r="A31" s="3" t="s">
        <v>19</v>
      </c>
      <c r="B31" s="5">
        <f>15181.25</f>
        <v>15181.25</v>
      </c>
    </row>
    <row r="32" spans="1:2">
      <c r="A32" s="3" t="s">
        <v>20</v>
      </c>
      <c r="B32" s="5">
        <f>6200</f>
        <v>6200</v>
      </c>
    </row>
    <row r="33" spans="1:2">
      <c r="A33" s="3" t="s">
        <v>21</v>
      </c>
      <c r="B33" s="5">
        <f>5824.83</f>
        <v>5824.83</v>
      </c>
    </row>
    <row r="34" spans="1:2">
      <c r="A34" s="3" t="s">
        <v>23</v>
      </c>
      <c r="B34" s="5">
        <f>1463.42</f>
        <v>1463.42</v>
      </c>
    </row>
    <row r="35" spans="1:2">
      <c r="A35" s="3" t="s">
        <v>24</v>
      </c>
      <c r="B35" s="5">
        <f>1208.12</f>
        <v>1208.1199999999999</v>
      </c>
    </row>
    <row r="36" spans="1:2">
      <c r="A36" s="3" t="s">
        <v>25</v>
      </c>
      <c r="B36" s="6">
        <f>((((((((((((((((((((B15)+(B16))+(B17))+(B18))+(B19))+(B20))+(B21))+(B22))+(B23))+(B24))+(B25))+(B26))+(B27))+(B28))+(B29))+(B30))+(B31))+(B32))+(B33))+(B34))+(B35)</f>
        <v>221656.48000000004</v>
      </c>
    </row>
    <row r="37" spans="1:2">
      <c r="A37" s="3" t="s">
        <v>26</v>
      </c>
      <c r="B37" s="6">
        <f>(B13)-(B36)</f>
        <v>-32127.600000000035</v>
      </c>
    </row>
    <row r="38" spans="1:2">
      <c r="A38" s="3" t="s">
        <v>27</v>
      </c>
      <c r="B38" s="6">
        <f>(B37)+(0)</f>
        <v>-32127.600000000035</v>
      </c>
    </row>
    <row r="39" spans="1:2">
      <c r="A39" s="3"/>
      <c r="B39" s="4"/>
    </row>
    <row r="42" spans="1:2">
      <c r="A42" s="7"/>
      <c r="B42" s="8"/>
    </row>
  </sheetData>
  <mergeCells count="3">
    <mergeCell ref="A1:B1"/>
    <mergeCell ref="A2:B2"/>
    <mergeCell ref="A42:B4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5"/>
  <sheetViews>
    <sheetView topLeftCell="A7" workbookViewId="0">
      <selection activeCell="A35" sqref="A35:IV35"/>
    </sheetView>
  </sheetViews>
  <sheetFormatPr defaultRowHeight="12.75"/>
  <cols>
    <col min="1" max="1" width="24.85546875" customWidth="1"/>
    <col min="2" max="2" width="13.7109375" customWidth="1"/>
  </cols>
  <sheetData>
    <row r="1" spans="1:2" ht="18">
      <c r="A1" s="9" t="s">
        <v>28</v>
      </c>
      <c r="B1" s="8"/>
    </row>
    <row r="2" spans="1:2">
      <c r="A2" s="10" t="s">
        <v>30</v>
      </c>
      <c r="B2" s="8"/>
    </row>
    <row r="4" spans="1:2">
      <c r="A4" s="1"/>
      <c r="B4" s="2" t="s">
        <v>0</v>
      </c>
    </row>
    <row r="5" spans="1:2">
      <c r="A5" s="3" t="s">
        <v>1</v>
      </c>
      <c r="B5" s="4"/>
    </row>
    <row r="6" spans="1:2">
      <c r="A6" s="3" t="s">
        <v>3</v>
      </c>
      <c r="B6" s="5">
        <f>2832.8</f>
        <v>2832.8</v>
      </c>
    </row>
    <row r="7" spans="1:2">
      <c r="A7" s="3" t="s">
        <v>4</v>
      </c>
      <c r="B7" s="5">
        <f>117128.52</f>
        <v>117128.52</v>
      </c>
    </row>
    <row r="8" spans="1:2">
      <c r="A8" s="3" t="s">
        <v>5</v>
      </c>
      <c r="B8" s="6">
        <f>(B6)+(B7)</f>
        <v>119961.32</v>
      </c>
    </row>
    <row r="9" spans="1:2">
      <c r="A9" s="3" t="s">
        <v>6</v>
      </c>
      <c r="B9" s="6">
        <f>(B8)-(0)</f>
        <v>119961.32</v>
      </c>
    </row>
    <row r="10" spans="1:2">
      <c r="A10" s="3" t="s">
        <v>7</v>
      </c>
      <c r="B10" s="4"/>
    </row>
    <row r="11" spans="1:2">
      <c r="A11" s="3" t="s">
        <v>8</v>
      </c>
      <c r="B11" s="5">
        <f>8765.78</f>
        <v>8765.7800000000007</v>
      </c>
    </row>
    <row r="12" spans="1:2">
      <c r="A12" s="3" t="s">
        <v>31</v>
      </c>
      <c r="B12" s="5">
        <f>2872</f>
        <v>2872</v>
      </c>
    </row>
    <row r="13" spans="1:2">
      <c r="A13" s="3" t="s">
        <v>9</v>
      </c>
      <c r="B13" s="5">
        <f>218.8</f>
        <v>218.8</v>
      </c>
    </row>
    <row r="14" spans="1:2">
      <c r="A14" s="3" t="s">
        <v>10</v>
      </c>
      <c r="B14" s="5">
        <f>503</f>
        <v>503</v>
      </c>
    </row>
    <row r="15" spans="1:2">
      <c r="A15" s="3" t="s">
        <v>11</v>
      </c>
      <c r="B15" s="5">
        <f>310.95</f>
        <v>310.95</v>
      </c>
    </row>
    <row r="16" spans="1:2">
      <c r="A16" s="3" t="s">
        <v>12</v>
      </c>
      <c r="B16" s="5">
        <f>76354</f>
        <v>76354</v>
      </c>
    </row>
    <row r="17" spans="1:2">
      <c r="A17" s="3" t="s">
        <v>13</v>
      </c>
      <c r="B17" s="5">
        <f>565</f>
        <v>565</v>
      </c>
    </row>
    <row r="18" spans="1:2">
      <c r="A18" s="3" t="s">
        <v>14</v>
      </c>
      <c r="B18" s="5">
        <f>205</f>
        <v>205</v>
      </c>
    </row>
    <row r="19" spans="1:2">
      <c r="A19" s="3" t="s">
        <v>15</v>
      </c>
      <c r="B19" s="5">
        <f>1858.47</f>
        <v>1858.47</v>
      </c>
    </row>
    <row r="20" spans="1:2">
      <c r="A20" s="3" t="s">
        <v>16</v>
      </c>
      <c r="B20" s="5">
        <f>812.95</f>
        <v>812.95</v>
      </c>
    </row>
    <row r="21" spans="1:2">
      <c r="A21" s="3" t="s">
        <v>17</v>
      </c>
      <c r="B21" s="5">
        <f>90.33</f>
        <v>90.33</v>
      </c>
    </row>
    <row r="22" spans="1:2">
      <c r="A22" s="3" t="s">
        <v>18</v>
      </c>
      <c r="B22" s="5">
        <f>6082.76</f>
        <v>6082.76</v>
      </c>
    </row>
    <row r="23" spans="1:2">
      <c r="A23" s="3" t="s">
        <v>19</v>
      </c>
      <c r="B23" s="5">
        <f>2000</f>
        <v>2000</v>
      </c>
    </row>
    <row r="24" spans="1:2">
      <c r="A24" s="3" t="s">
        <v>20</v>
      </c>
      <c r="B24" s="5">
        <f>2500</f>
        <v>2500</v>
      </c>
    </row>
    <row r="25" spans="1:2">
      <c r="A25" s="3" t="s">
        <v>21</v>
      </c>
      <c r="B25" s="5">
        <f>6791.24</f>
        <v>6791.24</v>
      </c>
    </row>
    <row r="26" spans="1:2">
      <c r="A26" s="3" t="s">
        <v>22</v>
      </c>
      <c r="B26" s="5">
        <f>5000</f>
        <v>5000</v>
      </c>
    </row>
    <row r="27" spans="1:2">
      <c r="A27" s="3" t="s">
        <v>23</v>
      </c>
      <c r="B27" s="5">
        <f>1439.38</f>
        <v>1439.38</v>
      </c>
    </row>
    <row r="28" spans="1:2">
      <c r="A28" s="3" t="s">
        <v>24</v>
      </c>
      <c r="B28" s="5">
        <f>651.3</f>
        <v>651.29999999999995</v>
      </c>
    </row>
    <row r="29" spans="1:2">
      <c r="A29" s="3" t="s">
        <v>25</v>
      </c>
      <c r="B29" s="6">
        <f>(((((((((((((((((B11)+(B12))+(B13))+(B14))+(B15))+(B16))+(B17))+(B18))+(B19))+(B20))+(B21))+(B22))+(B23))+(B24))+(B25))+(B26))+(B27))+(B28)</f>
        <v>117020.96</v>
      </c>
    </row>
    <row r="30" spans="1:2">
      <c r="A30" s="3" t="s">
        <v>26</v>
      </c>
      <c r="B30" s="6">
        <f>(B9)-(B29)</f>
        <v>2940.3600000000006</v>
      </c>
    </row>
    <row r="31" spans="1:2">
      <c r="A31" s="3" t="s">
        <v>27</v>
      </c>
      <c r="B31" s="6">
        <f>(B30)+(0)</f>
        <v>2940.3600000000006</v>
      </c>
    </row>
    <row r="32" spans="1:2">
      <c r="A32" s="3"/>
      <c r="B32" s="4"/>
    </row>
    <row r="35" spans="1:2">
      <c r="A35" s="7"/>
      <c r="B35" s="8"/>
    </row>
  </sheetData>
  <mergeCells count="3">
    <mergeCell ref="A1:B1"/>
    <mergeCell ref="A2:B2"/>
    <mergeCell ref="A35:B3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7"/>
  <sheetViews>
    <sheetView topLeftCell="A19" workbookViewId="0">
      <selection activeCell="A37" sqref="A37:IV37"/>
    </sheetView>
  </sheetViews>
  <sheetFormatPr defaultRowHeight="12.75"/>
  <cols>
    <col min="1" max="1" width="24.85546875" customWidth="1"/>
    <col min="2" max="2" width="13.7109375" customWidth="1"/>
  </cols>
  <sheetData>
    <row r="1" spans="1:2" ht="18">
      <c r="A1" s="9" t="s">
        <v>28</v>
      </c>
      <c r="B1" s="8"/>
    </row>
    <row r="2" spans="1:2">
      <c r="A2" s="10" t="s">
        <v>32</v>
      </c>
      <c r="B2" s="8"/>
    </row>
    <row r="4" spans="1:2">
      <c r="A4" s="1"/>
      <c r="B4" s="2" t="s">
        <v>0</v>
      </c>
    </row>
    <row r="5" spans="1:2">
      <c r="A5" s="3" t="s">
        <v>1</v>
      </c>
      <c r="B5" s="4"/>
    </row>
    <row r="6" spans="1:2">
      <c r="A6" s="3" t="s">
        <v>2</v>
      </c>
      <c r="B6" s="5">
        <f>16920</f>
        <v>16920</v>
      </c>
    </row>
    <row r="7" spans="1:2">
      <c r="A7" s="3" t="s">
        <v>3</v>
      </c>
      <c r="B7" s="5">
        <f>2108.43</f>
        <v>2108.4299999999998</v>
      </c>
    </row>
    <row r="8" spans="1:2">
      <c r="A8" s="3" t="s">
        <v>4</v>
      </c>
      <c r="B8" s="5">
        <f>137362.49</f>
        <v>137362.49</v>
      </c>
    </row>
    <row r="9" spans="1:2">
      <c r="A9" s="3" t="s">
        <v>5</v>
      </c>
      <c r="B9" s="6">
        <f>((B6)+(B7))+(B8)</f>
        <v>156390.91999999998</v>
      </c>
    </row>
    <row r="10" spans="1:2">
      <c r="A10" s="3" t="s">
        <v>6</v>
      </c>
      <c r="B10" s="6">
        <f>(B9)-(0)</f>
        <v>156390.91999999998</v>
      </c>
    </row>
    <row r="11" spans="1:2">
      <c r="A11" s="3" t="s">
        <v>7</v>
      </c>
      <c r="B11" s="4"/>
    </row>
    <row r="12" spans="1:2">
      <c r="A12" s="3" t="s">
        <v>33</v>
      </c>
      <c r="B12" s="5">
        <f>2000</f>
        <v>2000</v>
      </c>
    </row>
    <row r="13" spans="1:2">
      <c r="A13" s="3" t="s">
        <v>8</v>
      </c>
      <c r="B13" s="5">
        <f>22209.02</f>
        <v>22209.02</v>
      </c>
    </row>
    <row r="14" spans="1:2">
      <c r="A14" s="3" t="s">
        <v>31</v>
      </c>
      <c r="B14" s="5">
        <f>146</f>
        <v>146</v>
      </c>
    </row>
    <row r="15" spans="1:2">
      <c r="A15" s="3" t="s">
        <v>9</v>
      </c>
      <c r="B15" s="5">
        <f>292.4</f>
        <v>292.39999999999998</v>
      </c>
    </row>
    <row r="16" spans="1:2">
      <c r="A16" s="3" t="s">
        <v>10</v>
      </c>
      <c r="B16" s="5">
        <f>4000</f>
        <v>4000</v>
      </c>
    </row>
    <row r="17" spans="1:2">
      <c r="A17" s="3" t="s">
        <v>11</v>
      </c>
      <c r="B17" s="5">
        <f>1119</f>
        <v>1119</v>
      </c>
    </row>
    <row r="18" spans="1:2">
      <c r="A18" s="3" t="s">
        <v>12</v>
      </c>
      <c r="B18" s="5">
        <f>84229.46</f>
        <v>84229.46</v>
      </c>
    </row>
    <row r="19" spans="1:2">
      <c r="A19" s="3" t="s">
        <v>34</v>
      </c>
      <c r="B19" s="5">
        <f>21.51</f>
        <v>21.51</v>
      </c>
    </row>
    <row r="20" spans="1:2">
      <c r="A20" s="3" t="s">
        <v>13</v>
      </c>
      <c r="B20" s="5">
        <f>1130</f>
        <v>1130</v>
      </c>
    </row>
    <row r="21" spans="1:2">
      <c r="A21" s="3" t="s">
        <v>14</v>
      </c>
      <c r="B21" s="5">
        <f>3991.25</f>
        <v>3991.25</v>
      </c>
    </row>
    <row r="22" spans="1:2">
      <c r="A22" s="3" t="s">
        <v>15</v>
      </c>
      <c r="B22" s="5">
        <f>16865.96</f>
        <v>16865.96</v>
      </c>
    </row>
    <row r="23" spans="1:2">
      <c r="A23" s="3" t="s">
        <v>16</v>
      </c>
      <c r="B23" s="5">
        <f>53.98</f>
        <v>53.98</v>
      </c>
    </row>
    <row r="24" spans="1:2">
      <c r="A24" s="3" t="s">
        <v>17</v>
      </c>
      <c r="B24" s="5">
        <f>495.29</f>
        <v>495.29</v>
      </c>
    </row>
    <row r="25" spans="1:2">
      <c r="A25" s="3" t="s">
        <v>18</v>
      </c>
      <c r="B25" s="5">
        <f>5756.91</f>
        <v>5756.91</v>
      </c>
    </row>
    <row r="26" spans="1:2">
      <c r="A26" s="3" t="s">
        <v>19</v>
      </c>
      <c r="B26" s="5">
        <f>8137</f>
        <v>8137</v>
      </c>
    </row>
    <row r="27" spans="1:2">
      <c r="A27" s="3" t="s">
        <v>21</v>
      </c>
      <c r="B27" s="5">
        <f>19624.95</f>
        <v>19624.95</v>
      </c>
    </row>
    <row r="28" spans="1:2">
      <c r="A28" s="3" t="s">
        <v>22</v>
      </c>
      <c r="B28" s="5">
        <f>5000</f>
        <v>5000</v>
      </c>
    </row>
    <row r="29" spans="1:2">
      <c r="A29" s="3" t="s">
        <v>23</v>
      </c>
      <c r="B29" s="5">
        <f>1376.32</f>
        <v>1376.32</v>
      </c>
    </row>
    <row r="30" spans="1:2">
      <c r="A30" s="3" t="s">
        <v>24</v>
      </c>
      <c r="B30" s="5">
        <f>522.8</f>
        <v>522.79999999999995</v>
      </c>
    </row>
    <row r="31" spans="1:2">
      <c r="A31" s="3" t="s">
        <v>25</v>
      </c>
      <c r="B31" s="6">
        <f>((((((((((((((((((B12)+(B13))+(B14))+(B15))+(B16))+(B17))+(B18))+(B19))+(B20))+(B21))+(B22))+(B23))+(B24))+(B25))+(B26))+(B27))+(B28))+(B29))+(B30)</f>
        <v>176971.85000000003</v>
      </c>
    </row>
    <row r="32" spans="1:2">
      <c r="A32" s="3" t="s">
        <v>26</v>
      </c>
      <c r="B32" s="6">
        <f>(B10)-(B31)</f>
        <v>-20580.930000000051</v>
      </c>
    </row>
    <row r="33" spans="1:2">
      <c r="A33" s="3" t="s">
        <v>27</v>
      </c>
      <c r="B33" s="6">
        <f>(B32)+(0)</f>
        <v>-20580.930000000051</v>
      </c>
    </row>
    <row r="34" spans="1:2">
      <c r="A34" s="3"/>
      <c r="B34" s="4"/>
    </row>
    <row r="37" spans="1:2">
      <c r="A37" s="7"/>
      <c r="B37" s="8"/>
    </row>
  </sheetData>
  <mergeCells count="3">
    <mergeCell ref="A1:B1"/>
    <mergeCell ref="A2:B2"/>
    <mergeCell ref="A37:B3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7"/>
  <sheetViews>
    <sheetView topLeftCell="A13" workbookViewId="0">
      <selection activeCell="A37" sqref="A37:IV37"/>
    </sheetView>
  </sheetViews>
  <sheetFormatPr defaultRowHeight="12.75"/>
  <cols>
    <col min="1" max="1" width="26.5703125" customWidth="1"/>
    <col min="2" max="2" width="13.7109375" customWidth="1"/>
  </cols>
  <sheetData>
    <row r="1" spans="1:2" ht="18">
      <c r="A1" s="9" t="s">
        <v>28</v>
      </c>
      <c r="B1" s="8"/>
    </row>
    <row r="2" spans="1:2">
      <c r="A2" s="10" t="s">
        <v>35</v>
      </c>
      <c r="B2" s="8"/>
    </row>
    <row r="4" spans="1:2">
      <c r="A4" s="1"/>
      <c r="B4" s="2" t="s">
        <v>0</v>
      </c>
    </row>
    <row r="5" spans="1:2">
      <c r="A5" s="3" t="s">
        <v>1</v>
      </c>
      <c r="B5" s="4"/>
    </row>
    <row r="6" spans="1:2">
      <c r="A6" s="3" t="s">
        <v>2</v>
      </c>
      <c r="B6" s="5">
        <f>21210.06</f>
        <v>21210.06</v>
      </c>
    </row>
    <row r="7" spans="1:2">
      <c r="A7" s="3" t="s">
        <v>3</v>
      </c>
      <c r="B7" s="5">
        <f>4853.11</f>
        <v>4853.1099999999997</v>
      </c>
    </row>
    <row r="8" spans="1:2">
      <c r="A8" s="3" t="s">
        <v>4</v>
      </c>
      <c r="B8" s="5">
        <f>133517.54</f>
        <v>133517.54</v>
      </c>
    </row>
    <row r="9" spans="1:2">
      <c r="A9" s="3" t="s">
        <v>5</v>
      </c>
      <c r="B9" s="6">
        <f>((B6)+(B7))+(B8)</f>
        <v>159580.71000000002</v>
      </c>
    </row>
    <row r="10" spans="1:2">
      <c r="A10" s="3" t="s">
        <v>6</v>
      </c>
      <c r="B10" s="6">
        <f>(B9)-(0)</f>
        <v>159580.71000000002</v>
      </c>
    </row>
    <row r="11" spans="1:2">
      <c r="A11" s="3" t="s">
        <v>7</v>
      </c>
      <c r="B11" s="4"/>
    </row>
    <row r="12" spans="1:2">
      <c r="A12" s="3" t="s">
        <v>33</v>
      </c>
      <c r="B12" s="5">
        <f>2000</f>
        <v>2000</v>
      </c>
    </row>
    <row r="13" spans="1:2">
      <c r="A13" s="3" t="s">
        <v>8</v>
      </c>
      <c r="B13" s="5">
        <f>8517.15</f>
        <v>8517.15</v>
      </c>
    </row>
    <row r="14" spans="1:2">
      <c r="A14" s="3" t="s">
        <v>31</v>
      </c>
      <c r="B14" s="5">
        <f>524</f>
        <v>524</v>
      </c>
    </row>
    <row r="15" spans="1:2">
      <c r="A15" s="3" t="s">
        <v>9</v>
      </c>
      <c r="B15" s="5">
        <f>860.46</f>
        <v>860.46</v>
      </c>
    </row>
    <row r="16" spans="1:2">
      <c r="A16" s="3" t="s">
        <v>10</v>
      </c>
      <c r="B16" s="5">
        <f>4000</f>
        <v>4000</v>
      </c>
    </row>
    <row r="17" spans="1:2">
      <c r="A17" s="3" t="s">
        <v>11</v>
      </c>
      <c r="B17" s="5">
        <f>1542.75</f>
        <v>1542.75</v>
      </c>
    </row>
    <row r="18" spans="1:2">
      <c r="A18" s="3" t="s">
        <v>12</v>
      </c>
      <c r="B18" s="5">
        <f>81759.82</f>
        <v>81759.820000000007</v>
      </c>
    </row>
    <row r="19" spans="1:2" ht="22.5">
      <c r="A19" s="3" t="s">
        <v>36</v>
      </c>
      <c r="B19" s="5">
        <f>20210.06</f>
        <v>20210.060000000001</v>
      </c>
    </row>
    <row r="20" spans="1:2">
      <c r="A20" s="3" t="s">
        <v>34</v>
      </c>
      <c r="B20" s="5">
        <f>985.44</f>
        <v>985.44</v>
      </c>
    </row>
    <row r="21" spans="1:2">
      <c r="A21" s="3" t="s">
        <v>13</v>
      </c>
      <c r="B21" s="5">
        <f>1130</f>
        <v>1130</v>
      </c>
    </row>
    <row r="22" spans="1:2">
      <c r="A22" s="3" t="s">
        <v>14</v>
      </c>
      <c r="B22" s="5">
        <f>405</f>
        <v>405</v>
      </c>
    </row>
    <row r="23" spans="1:2">
      <c r="A23" s="3" t="s">
        <v>15</v>
      </c>
      <c r="B23" s="5">
        <f>13370.28</f>
        <v>13370.28</v>
      </c>
    </row>
    <row r="24" spans="1:2">
      <c r="A24" s="3" t="s">
        <v>16</v>
      </c>
      <c r="B24" s="5">
        <f>613.96</f>
        <v>613.96</v>
      </c>
    </row>
    <row r="25" spans="1:2">
      <c r="A25" s="3" t="s">
        <v>17</v>
      </c>
      <c r="B25" s="5">
        <f>1225.05</f>
        <v>1225.05</v>
      </c>
    </row>
    <row r="26" spans="1:2">
      <c r="A26" s="3" t="s">
        <v>18</v>
      </c>
      <c r="B26" s="5">
        <f>9921.1</f>
        <v>9921.1</v>
      </c>
    </row>
    <row r="27" spans="1:2">
      <c r="A27" s="3" t="s">
        <v>19</v>
      </c>
      <c r="B27" s="5">
        <f>9350</f>
        <v>9350</v>
      </c>
    </row>
    <row r="28" spans="1:2">
      <c r="A28" s="3" t="s">
        <v>21</v>
      </c>
      <c r="B28" s="5">
        <f>10510.46</f>
        <v>10510.46</v>
      </c>
    </row>
    <row r="29" spans="1:2">
      <c r="A29" s="3" t="s">
        <v>23</v>
      </c>
      <c r="B29" s="5">
        <f>1157.32</f>
        <v>1157.32</v>
      </c>
    </row>
    <row r="30" spans="1:2">
      <c r="A30" s="3" t="s">
        <v>24</v>
      </c>
      <c r="B30" s="5">
        <f>485.19</f>
        <v>485.19</v>
      </c>
    </row>
    <row r="31" spans="1:2">
      <c r="A31" s="3" t="s">
        <v>25</v>
      </c>
      <c r="B31" s="6">
        <f>((((((((((((((((((B12)+(B13))+(B14))+(B15))+(B16))+(B17))+(B18))+(B19))+(B20))+(B21))+(B22))+(B23))+(B24))+(B25))+(B26))+(B27))+(B28))+(B29))+(B30)</f>
        <v>168568.04</v>
      </c>
    </row>
    <row r="32" spans="1:2">
      <c r="A32" s="3" t="s">
        <v>26</v>
      </c>
      <c r="B32" s="6">
        <f>(B10)-(B31)</f>
        <v>-8987.3299999999872</v>
      </c>
    </row>
    <row r="33" spans="1:2">
      <c r="A33" s="3" t="s">
        <v>27</v>
      </c>
      <c r="B33" s="6">
        <f>(B32)+(0)</f>
        <v>-8987.3299999999872</v>
      </c>
    </row>
    <row r="34" spans="1:2">
      <c r="A34" s="3"/>
      <c r="B34" s="4"/>
    </row>
    <row r="37" spans="1:2">
      <c r="A37" s="7"/>
      <c r="B37" s="8"/>
    </row>
  </sheetData>
  <mergeCells count="3">
    <mergeCell ref="A1:B1"/>
    <mergeCell ref="A2:B2"/>
    <mergeCell ref="A37:B3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0"/>
  <sheetViews>
    <sheetView topLeftCell="A16" workbookViewId="0">
      <selection activeCell="A40" sqref="A40:IV40"/>
    </sheetView>
  </sheetViews>
  <sheetFormatPr defaultRowHeight="12.75"/>
  <cols>
    <col min="1" max="1" width="26.5703125" customWidth="1"/>
    <col min="2" max="2" width="13.7109375" customWidth="1"/>
  </cols>
  <sheetData>
    <row r="1" spans="1:2" ht="18">
      <c r="A1" s="9" t="s">
        <v>28</v>
      </c>
      <c r="B1" s="8"/>
    </row>
    <row r="2" spans="1:2">
      <c r="A2" s="10" t="s">
        <v>37</v>
      </c>
      <c r="B2" s="8"/>
    </row>
    <row r="4" spans="1:2">
      <c r="A4" s="1"/>
      <c r="B4" s="2" t="s">
        <v>0</v>
      </c>
    </row>
    <row r="5" spans="1:2">
      <c r="A5" s="3" t="s">
        <v>1</v>
      </c>
      <c r="B5" s="4"/>
    </row>
    <row r="6" spans="1:2">
      <c r="A6" s="3" t="s">
        <v>2</v>
      </c>
      <c r="B6" s="5">
        <f>17150</f>
        <v>17150</v>
      </c>
    </row>
    <row r="7" spans="1:2">
      <c r="A7" s="3" t="s">
        <v>3</v>
      </c>
      <c r="B7" s="5">
        <f>2596.37</f>
        <v>2596.37</v>
      </c>
    </row>
    <row r="8" spans="1:2">
      <c r="A8" s="3" t="s">
        <v>4</v>
      </c>
      <c r="B8" s="5">
        <f>214637.94</f>
        <v>214637.94</v>
      </c>
    </row>
    <row r="9" spans="1:2">
      <c r="A9" s="3" t="s">
        <v>5</v>
      </c>
      <c r="B9" s="6">
        <f>((B6)+(B7))+(B8)</f>
        <v>234384.31</v>
      </c>
    </row>
    <row r="10" spans="1:2">
      <c r="A10" s="3" t="s">
        <v>6</v>
      </c>
      <c r="B10" s="6">
        <f>(B9)-(0)</f>
        <v>234384.31</v>
      </c>
    </row>
    <row r="11" spans="1:2">
      <c r="A11" s="3" t="s">
        <v>7</v>
      </c>
      <c r="B11" s="4"/>
    </row>
    <row r="12" spans="1:2">
      <c r="A12" s="3" t="s">
        <v>33</v>
      </c>
      <c r="B12" s="5">
        <f>2000</f>
        <v>2000</v>
      </c>
    </row>
    <row r="13" spans="1:2">
      <c r="A13" s="3" t="s">
        <v>8</v>
      </c>
      <c r="B13" s="5">
        <f>14251.91</f>
        <v>14251.91</v>
      </c>
    </row>
    <row r="14" spans="1:2">
      <c r="A14" s="3" t="s">
        <v>31</v>
      </c>
      <c r="B14" s="5">
        <f>1347</f>
        <v>1347</v>
      </c>
    </row>
    <row r="15" spans="1:2">
      <c r="A15" s="3" t="s">
        <v>9</v>
      </c>
      <c r="B15" s="5">
        <f>1141.72</f>
        <v>1141.72</v>
      </c>
    </row>
    <row r="16" spans="1:2">
      <c r="A16" s="3" t="s">
        <v>10</v>
      </c>
      <c r="B16" s="5">
        <f>4700</f>
        <v>4700</v>
      </c>
    </row>
    <row r="17" spans="1:2">
      <c r="A17" s="3" t="s">
        <v>11</v>
      </c>
      <c r="B17" s="5">
        <f>200</f>
        <v>200</v>
      </c>
    </row>
    <row r="18" spans="1:2">
      <c r="A18" s="3" t="s">
        <v>12</v>
      </c>
      <c r="B18" s="5">
        <f>107953.29</f>
        <v>107953.29</v>
      </c>
    </row>
    <row r="19" spans="1:2" ht="22.5">
      <c r="A19" s="3" t="s">
        <v>36</v>
      </c>
      <c r="B19" s="5">
        <f>13150</f>
        <v>13150</v>
      </c>
    </row>
    <row r="20" spans="1:2">
      <c r="A20" s="3" t="s">
        <v>34</v>
      </c>
      <c r="B20" s="5">
        <f>596.7</f>
        <v>596.70000000000005</v>
      </c>
    </row>
    <row r="21" spans="1:2">
      <c r="A21" s="3" t="s">
        <v>13</v>
      </c>
      <c r="B21" s="5">
        <f>1695</f>
        <v>1695</v>
      </c>
    </row>
    <row r="22" spans="1:2">
      <c r="A22" s="3" t="s">
        <v>38</v>
      </c>
      <c r="B22" s="5">
        <f>1000</f>
        <v>1000</v>
      </c>
    </row>
    <row r="23" spans="1:2">
      <c r="A23" s="3" t="s">
        <v>14</v>
      </c>
      <c r="B23" s="5">
        <f>5126.25</f>
        <v>5126.25</v>
      </c>
    </row>
    <row r="24" spans="1:2">
      <c r="A24" s="3" t="s">
        <v>15</v>
      </c>
      <c r="B24" s="5">
        <f>488.72</f>
        <v>488.72</v>
      </c>
    </row>
    <row r="25" spans="1:2">
      <c r="A25" s="3" t="s">
        <v>16</v>
      </c>
      <c r="B25" s="5">
        <f>1397.48</f>
        <v>1397.48</v>
      </c>
    </row>
    <row r="26" spans="1:2">
      <c r="A26" s="3" t="s">
        <v>17</v>
      </c>
      <c r="B26" s="5">
        <f>82.48</f>
        <v>82.48</v>
      </c>
    </row>
    <row r="27" spans="1:2">
      <c r="A27" s="3" t="s">
        <v>18</v>
      </c>
      <c r="B27" s="5">
        <f>5891.05</f>
        <v>5891.05</v>
      </c>
    </row>
    <row r="28" spans="1:2">
      <c r="A28" s="3" t="s">
        <v>19</v>
      </c>
      <c r="B28" s="5">
        <f>16700</f>
        <v>16700</v>
      </c>
    </row>
    <row r="29" spans="1:2">
      <c r="A29" s="3" t="s">
        <v>20</v>
      </c>
      <c r="B29" s="5">
        <f>5500</f>
        <v>5500</v>
      </c>
    </row>
    <row r="30" spans="1:2">
      <c r="A30" s="3" t="s">
        <v>21</v>
      </c>
      <c r="B30" s="5">
        <f>17159.44</f>
        <v>17159.439999999999</v>
      </c>
    </row>
    <row r="31" spans="1:2">
      <c r="A31" s="3" t="s">
        <v>22</v>
      </c>
      <c r="B31" s="5">
        <f>5000</f>
        <v>5000</v>
      </c>
    </row>
    <row r="32" spans="1:2">
      <c r="A32" s="3" t="s">
        <v>23</v>
      </c>
      <c r="B32" s="5">
        <f>2072.44</f>
        <v>2072.44</v>
      </c>
    </row>
    <row r="33" spans="1:2">
      <c r="A33" s="3" t="s">
        <v>24</v>
      </c>
      <c r="B33" s="5">
        <f>475.66</f>
        <v>475.66</v>
      </c>
    </row>
    <row r="34" spans="1:2">
      <c r="A34" s="3" t="s">
        <v>25</v>
      </c>
      <c r="B34" s="6">
        <f>(((((((((((((((((((((B12)+(B13))+(B14))+(B15))+(B16))+(B17))+(B18))+(B19))+(B20))+(B21))+(B22))+(B23))+(B24))+(B25))+(B26))+(B27))+(B28))+(B29))+(B30))+(B31))+(B32))+(B33)</f>
        <v>207929.14</v>
      </c>
    </row>
    <row r="35" spans="1:2">
      <c r="A35" s="3" t="s">
        <v>26</v>
      </c>
      <c r="B35" s="6">
        <f>(B10)-(B34)</f>
        <v>26455.169999999984</v>
      </c>
    </row>
    <row r="36" spans="1:2">
      <c r="A36" s="3" t="s">
        <v>27</v>
      </c>
      <c r="B36" s="6">
        <f>(B35)+(0)</f>
        <v>26455.169999999984</v>
      </c>
    </row>
    <row r="37" spans="1:2">
      <c r="A37" s="3"/>
      <c r="B37" s="4"/>
    </row>
    <row r="40" spans="1:2">
      <c r="A40" s="7"/>
      <c r="B40" s="8"/>
    </row>
  </sheetData>
  <mergeCells count="3">
    <mergeCell ref="A1:B1"/>
    <mergeCell ref="A2:B2"/>
    <mergeCell ref="A40:B4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8"/>
  <sheetViews>
    <sheetView topLeftCell="A13" workbookViewId="0">
      <selection activeCell="A38" sqref="A38:IV38"/>
    </sheetView>
  </sheetViews>
  <sheetFormatPr defaultRowHeight="12.75"/>
  <cols>
    <col min="1" max="1" width="26.5703125" customWidth="1"/>
    <col min="2" max="2" width="13.7109375" customWidth="1"/>
  </cols>
  <sheetData>
    <row r="1" spans="1:2" ht="18">
      <c r="A1" s="9" t="s">
        <v>28</v>
      </c>
      <c r="B1" s="8"/>
    </row>
    <row r="2" spans="1:2">
      <c r="A2" s="10" t="s">
        <v>39</v>
      </c>
      <c r="B2" s="8"/>
    </row>
    <row r="4" spans="1:2">
      <c r="A4" s="1"/>
      <c r="B4" s="2" t="s">
        <v>0</v>
      </c>
    </row>
    <row r="5" spans="1:2">
      <c r="A5" s="3" t="s">
        <v>1</v>
      </c>
      <c r="B5" s="4"/>
    </row>
    <row r="6" spans="1:2">
      <c r="A6" s="3" t="s">
        <v>2</v>
      </c>
      <c r="B6" s="5">
        <f>11850</f>
        <v>11850</v>
      </c>
    </row>
    <row r="7" spans="1:2">
      <c r="A7" s="3" t="s">
        <v>3</v>
      </c>
      <c r="B7" s="5">
        <f>14492.58</f>
        <v>14492.58</v>
      </c>
    </row>
    <row r="8" spans="1:2">
      <c r="A8" s="3" t="s">
        <v>4</v>
      </c>
      <c r="B8" s="5">
        <f>163130.34</f>
        <v>163130.34</v>
      </c>
    </row>
    <row r="9" spans="1:2">
      <c r="A9" s="3" t="s">
        <v>5</v>
      </c>
      <c r="B9" s="6">
        <f>((B6)+(B7))+(B8)</f>
        <v>189472.91999999998</v>
      </c>
    </row>
    <row r="10" spans="1:2">
      <c r="A10" s="3" t="s">
        <v>6</v>
      </c>
      <c r="B10" s="6">
        <f>(B9)-(0)</f>
        <v>189472.91999999998</v>
      </c>
    </row>
    <row r="11" spans="1:2">
      <c r="A11" s="3" t="s">
        <v>7</v>
      </c>
      <c r="B11" s="4"/>
    </row>
    <row r="12" spans="1:2">
      <c r="A12" s="3" t="s">
        <v>8</v>
      </c>
      <c r="B12" s="5">
        <f>11631.87</f>
        <v>11631.87</v>
      </c>
    </row>
    <row r="13" spans="1:2">
      <c r="A13" s="3" t="s">
        <v>31</v>
      </c>
      <c r="B13" s="5">
        <f>49</f>
        <v>49</v>
      </c>
    </row>
    <row r="14" spans="1:2">
      <c r="A14" s="3" t="s">
        <v>9</v>
      </c>
      <c r="B14" s="5">
        <f>320.5</f>
        <v>320.5</v>
      </c>
    </row>
    <row r="15" spans="1:2">
      <c r="A15" s="3" t="s">
        <v>10</v>
      </c>
      <c r="B15" s="5">
        <f>2194.1</f>
        <v>2194.1</v>
      </c>
    </row>
    <row r="16" spans="1:2">
      <c r="A16" s="3" t="s">
        <v>11</v>
      </c>
      <c r="B16" s="5">
        <f>225</f>
        <v>225</v>
      </c>
    </row>
    <row r="17" spans="1:2">
      <c r="A17" s="3" t="s">
        <v>12</v>
      </c>
      <c r="B17" s="5">
        <f>109685.46</f>
        <v>109685.46</v>
      </c>
    </row>
    <row r="18" spans="1:2" ht="22.5">
      <c r="A18" s="3" t="s">
        <v>36</v>
      </c>
      <c r="B18" s="5">
        <f>9054</f>
        <v>9054</v>
      </c>
    </row>
    <row r="19" spans="1:2">
      <c r="A19" s="3" t="s">
        <v>34</v>
      </c>
      <c r="B19" s="5">
        <f>29</f>
        <v>29</v>
      </c>
    </row>
    <row r="20" spans="1:2">
      <c r="A20" s="3" t="s">
        <v>13</v>
      </c>
      <c r="B20" s="5">
        <f>1283</f>
        <v>1283</v>
      </c>
    </row>
    <row r="21" spans="1:2">
      <c r="A21" s="3" t="s">
        <v>38</v>
      </c>
      <c r="B21" s="5">
        <f>7768.61</f>
        <v>7768.61</v>
      </c>
    </row>
    <row r="22" spans="1:2">
      <c r="A22" s="3" t="s">
        <v>14</v>
      </c>
      <c r="B22" s="5">
        <f>7355</f>
        <v>7355</v>
      </c>
    </row>
    <row r="23" spans="1:2">
      <c r="A23" s="3" t="s">
        <v>15</v>
      </c>
      <c r="B23" s="5">
        <f>1194.33</f>
        <v>1194.33</v>
      </c>
    </row>
    <row r="24" spans="1:2">
      <c r="A24" s="3" t="s">
        <v>16</v>
      </c>
      <c r="B24" s="5">
        <f>2503.96</f>
        <v>2503.96</v>
      </c>
    </row>
    <row r="25" spans="1:2">
      <c r="A25" s="3" t="s">
        <v>17</v>
      </c>
      <c r="B25" s="5">
        <f>1625.38</f>
        <v>1625.38</v>
      </c>
    </row>
    <row r="26" spans="1:2">
      <c r="A26" s="3" t="s">
        <v>18</v>
      </c>
      <c r="B26" s="5">
        <f>10229.85</f>
        <v>10229.85</v>
      </c>
    </row>
    <row r="27" spans="1:2">
      <c r="A27" s="3" t="s">
        <v>19</v>
      </c>
      <c r="B27" s="5">
        <f>11625</f>
        <v>11625</v>
      </c>
    </row>
    <row r="28" spans="1:2">
      <c r="A28" s="3" t="s">
        <v>20</v>
      </c>
      <c r="B28" s="5">
        <f>2500</f>
        <v>2500</v>
      </c>
    </row>
    <row r="29" spans="1:2">
      <c r="A29" s="3" t="s">
        <v>21</v>
      </c>
      <c r="B29" s="5">
        <f>15637.11</f>
        <v>15637.11</v>
      </c>
    </row>
    <row r="30" spans="1:2">
      <c r="A30" s="3" t="s">
        <v>23</v>
      </c>
      <c r="B30" s="5">
        <f>1157.32</f>
        <v>1157.32</v>
      </c>
    </row>
    <row r="31" spans="1:2">
      <c r="A31" s="3" t="s">
        <v>24</v>
      </c>
      <c r="B31" s="5">
        <f>600</f>
        <v>600</v>
      </c>
    </row>
    <row r="32" spans="1:2">
      <c r="A32" s="3" t="s">
        <v>25</v>
      </c>
      <c r="B32" s="6">
        <f>(((((((((((((((((((B12)+(B13))+(B14))+(B15))+(B16))+(B17))+(B18))+(B19))+(B20))+(B21))+(B22))+(B23))+(B24))+(B25))+(B26))+(B27))+(B28))+(B29))+(B30))+(B31)</f>
        <v>196668.49</v>
      </c>
    </row>
    <row r="33" spans="1:2">
      <c r="A33" s="3" t="s">
        <v>26</v>
      </c>
      <c r="B33" s="6">
        <f>(B10)-(B32)</f>
        <v>-7195.570000000007</v>
      </c>
    </row>
    <row r="34" spans="1:2">
      <c r="A34" s="3" t="s">
        <v>27</v>
      </c>
      <c r="B34" s="6">
        <f>(B33)+(0)</f>
        <v>-7195.570000000007</v>
      </c>
    </row>
    <row r="35" spans="1:2">
      <c r="A35" s="3"/>
      <c r="B35" s="4"/>
    </row>
    <row r="38" spans="1:2">
      <c r="A38" s="7"/>
      <c r="B38" s="8"/>
    </row>
  </sheetData>
  <mergeCells count="3">
    <mergeCell ref="A1:B1"/>
    <mergeCell ref="A2:B2"/>
    <mergeCell ref="A38:B3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B39"/>
  <sheetViews>
    <sheetView topLeftCell="A13" workbookViewId="0">
      <selection activeCell="A39" sqref="A39:IV39"/>
    </sheetView>
  </sheetViews>
  <sheetFormatPr defaultRowHeight="12.75"/>
  <cols>
    <col min="1" max="1" width="26.5703125" customWidth="1"/>
    <col min="2" max="2" width="13.7109375" customWidth="1"/>
  </cols>
  <sheetData>
    <row r="1" spans="1:2" ht="18">
      <c r="A1" s="9" t="s">
        <v>28</v>
      </c>
      <c r="B1" s="8"/>
    </row>
    <row r="2" spans="1:2">
      <c r="A2" s="10" t="s">
        <v>40</v>
      </c>
      <c r="B2" s="8"/>
    </row>
    <row r="4" spans="1:2">
      <c r="A4" s="1"/>
      <c r="B4" s="2" t="s">
        <v>0</v>
      </c>
    </row>
    <row r="5" spans="1:2">
      <c r="A5" s="3" t="s">
        <v>1</v>
      </c>
      <c r="B5" s="4"/>
    </row>
    <row r="6" spans="1:2">
      <c r="A6" s="3" t="s">
        <v>3</v>
      </c>
      <c r="B6" s="5">
        <f>4742.59</f>
        <v>4742.59</v>
      </c>
    </row>
    <row r="7" spans="1:2">
      <c r="A7" s="3" t="s">
        <v>4</v>
      </c>
      <c r="B7" s="5">
        <f>199239.26</f>
        <v>199239.26</v>
      </c>
    </row>
    <row r="8" spans="1:2">
      <c r="A8" s="3" t="s">
        <v>5</v>
      </c>
      <c r="B8" s="6">
        <f>(B6)+(B7)</f>
        <v>203981.85</v>
      </c>
    </row>
    <row r="9" spans="1:2">
      <c r="A9" s="3" t="s">
        <v>6</v>
      </c>
      <c r="B9" s="6">
        <f>(B8)-(0)</f>
        <v>203981.85</v>
      </c>
    </row>
    <row r="10" spans="1:2">
      <c r="A10" s="3" t="s">
        <v>7</v>
      </c>
      <c r="B10" s="4"/>
    </row>
    <row r="11" spans="1:2">
      <c r="A11" s="3" t="s">
        <v>33</v>
      </c>
      <c r="B11" s="5">
        <f>75</f>
        <v>75</v>
      </c>
    </row>
    <row r="12" spans="1:2">
      <c r="A12" s="3" t="s">
        <v>8</v>
      </c>
      <c r="B12" s="5">
        <f>11631.87</f>
        <v>11631.87</v>
      </c>
    </row>
    <row r="13" spans="1:2">
      <c r="A13" s="3" t="s">
        <v>31</v>
      </c>
      <c r="B13" s="5">
        <f>3302</f>
        <v>3302</v>
      </c>
    </row>
    <row r="14" spans="1:2">
      <c r="A14" s="3" t="s">
        <v>9</v>
      </c>
      <c r="B14" s="5">
        <f>125.69</f>
        <v>125.69</v>
      </c>
    </row>
    <row r="15" spans="1:2">
      <c r="A15" s="3" t="s">
        <v>10</v>
      </c>
      <c r="B15" s="5">
        <f>22487.9</f>
        <v>22487.9</v>
      </c>
    </row>
    <row r="16" spans="1:2">
      <c r="A16" s="3" t="s">
        <v>11</v>
      </c>
      <c r="B16" s="5">
        <f>2813.1</f>
        <v>2813.1</v>
      </c>
    </row>
    <row r="17" spans="1:2">
      <c r="A17" s="3" t="s">
        <v>12</v>
      </c>
      <c r="B17" s="5">
        <f>102863.67</f>
        <v>102863.67</v>
      </c>
    </row>
    <row r="18" spans="1:2" ht="22.5">
      <c r="A18" s="3" t="s">
        <v>36</v>
      </c>
      <c r="B18" s="5">
        <f>1100</f>
        <v>1100</v>
      </c>
    </row>
    <row r="19" spans="1:2">
      <c r="A19" s="3" t="s">
        <v>34</v>
      </c>
      <c r="B19" s="5">
        <f>1063.33</f>
        <v>1063.33</v>
      </c>
    </row>
    <row r="20" spans="1:2">
      <c r="A20" s="3" t="s">
        <v>13</v>
      </c>
      <c r="B20" s="5">
        <f>2510</f>
        <v>2510</v>
      </c>
    </row>
    <row r="21" spans="1:2">
      <c r="A21" s="3" t="s">
        <v>38</v>
      </c>
      <c r="B21" s="5">
        <f>7000</f>
        <v>7000</v>
      </c>
    </row>
    <row r="22" spans="1:2">
      <c r="A22" s="3" t="s">
        <v>14</v>
      </c>
      <c r="B22" s="5">
        <f>105</f>
        <v>105</v>
      </c>
    </row>
    <row r="23" spans="1:2">
      <c r="A23" s="3" t="s">
        <v>15</v>
      </c>
      <c r="B23" s="5">
        <f>4519.75</f>
        <v>4519.75</v>
      </c>
    </row>
    <row r="24" spans="1:2">
      <c r="A24" s="3" t="s">
        <v>16</v>
      </c>
      <c r="B24" s="5">
        <f>2643.43</f>
        <v>2643.43</v>
      </c>
    </row>
    <row r="25" spans="1:2">
      <c r="A25" s="3" t="s">
        <v>17</v>
      </c>
      <c r="B25" s="5">
        <f>1563.74</f>
        <v>1563.74</v>
      </c>
    </row>
    <row r="26" spans="1:2">
      <c r="A26" s="3" t="s">
        <v>18</v>
      </c>
      <c r="B26" s="5">
        <f>7910.99</f>
        <v>7910.99</v>
      </c>
    </row>
    <row r="27" spans="1:2">
      <c r="A27" s="3" t="s">
        <v>19</v>
      </c>
      <c r="B27" s="5">
        <f>9517.6</f>
        <v>9517.6</v>
      </c>
    </row>
    <row r="28" spans="1:2">
      <c r="A28" s="3" t="s">
        <v>20</v>
      </c>
      <c r="B28" s="5">
        <f>13000</f>
        <v>13000</v>
      </c>
    </row>
    <row r="29" spans="1:2">
      <c r="A29" s="3" t="s">
        <v>21</v>
      </c>
      <c r="B29" s="5">
        <f>7550</f>
        <v>7550</v>
      </c>
    </row>
    <row r="30" spans="1:2">
      <c r="A30" s="3" t="s">
        <v>22</v>
      </c>
      <c r="B30" s="5">
        <f>500</f>
        <v>500</v>
      </c>
    </row>
    <row r="31" spans="1:2">
      <c r="A31" s="3" t="s">
        <v>23</v>
      </c>
      <c r="B31" s="5">
        <f>1260.32</f>
        <v>1260.32</v>
      </c>
    </row>
    <row r="32" spans="1:2">
      <c r="A32" s="3" t="s">
        <v>24</v>
      </c>
      <c r="B32" s="5">
        <f>2724.83</f>
        <v>2724.83</v>
      </c>
    </row>
    <row r="33" spans="1:2">
      <c r="A33" s="3" t="s">
        <v>25</v>
      </c>
      <c r="B33" s="6">
        <f>(((((((((((((((((((((B11)+(B12))+(B13))+(B14))+(B15))+(B16))+(B17))+(B18))+(B19))+(B20))+(B21))+(B22))+(B23))+(B24))+(B25))+(B26))+(B27))+(B28))+(B29))+(B30))+(B31))+(B32)</f>
        <v>206268.21999999997</v>
      </c>
    </row>
    <row r="34" spans="1:2">
      <c r="A34" s="3" t="s">
        <v>26</v>
      </c>
      <c r="B34" s="6">
        <f>(B9)-(B33)</f>
        <v>-2286.3699999999662</v>
      </c>
    </row>
    <row r="35" spans="1:2">
      <c r="A35" s="3" t="s">
        <v>27</v>
      </c>
      <c r="B35" s="6">
        <f>(B34)+(0)</f>
        <v>-2286.3699999999662</v>
      </c>
    </row>
    <row r="36" spans="1:2">
      <c r="A36" s="3"/>
      <c r="B36" s="4"/>
    </row>
    <row r="39" spans="1:2">
      <c r="A39" s="7"/>
      <c r="B39" s="8"/>
    </row>
  </sheetData>
  <mergeCells count="3">
    <mergeCell ref="A1:B1"/>
    <mergeCell ref="A2:B2"/>
    <mergeCell ref="A39:B3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B36"/>
  <sheetViews>
    <sheetView topLeftCell="A13" workbookViewId="0">
      <selection activeCell="A36" sqref="A36:IV36"/>
    </sheetView>
  </sheetViews>
  <sheetFormatPr defaultRowHeight="12.75"/>
  <cols>
    <col min="1" max="1" width="26.5703125" customWidth="1"/>
    <col min="2" max="2" width="13.7109375" customWidth="1"/>
  </cols>
  <sheetData>
    <row r="1" spans="1:2" ht="18">
      <c r="A1" s="9" t="s">
        <v>28</v>
      </c>
      <c r="B1" s="8"/>
    </row>
    <row r="2" spans="1:2">
      <c r="A2" s="10" t="s">
        <v>41</v>
      </c>
      <c r="B2" s="8"/>
    </row>
    <row r="4" spans="1:2">
      <c r="A4" s="1"/>
      <c r="B4" s="2" t="s">
        <v>0</v>
      </c>
    </row>
    <row r="5" spans="1:2">
      <c r="A5" s="3" t="s">
        <v>1</v>
      </c>
      <c r="B5" s="4"/>
    </row>
    <row r="6" spans="1:2">
      <c r="A6" s="3" t="s">
        <v>2</v>
      </c>
      <c r="B6" s="5">
        <f>3890</f>
        <v>3890</v>
      </c>
    </row>
    <row r="7" spans="1:2">
      <c r="A7" s="3" t="s">
        <v>3</v>
      </c>
      <c r="B7" s="5">
        <f>3197.77</f>
        <v>3197.77</v>
      </c>
    </row>
    <row r="8" spans="1:2">
      <c r="A8" s="3" t="s">
        <v>4</v>
      </c>
      <c r="B8" s="5">
        <f>167524.77</f>
        <v>167524.76999999999</v>
      </c>
    </row>
    <row r="9" spans="1:2">
      <c r="A9" s="3" t="s">
        <v>5</v>
      </c>
      <c r="B9" s="6">
        <f>((B6)+(B7))+(B8)</f>
        <v>174612.53999999998</v>
      </c>
    </row>
    <row r="10" spans="1:2">
      <c r="A10" s="3" t="s">
        <v>6</v>
      </c>
      <c r="B10" s="6">
        <f>(B9)-(0)</f>
        <v>174612.53999999998</v>
      </c>
    </row>
    <row r="11" spans="1:2">
      <c r="A11" s="3" t="s">
        <v>7</v>
      </c>
      <c r="B11" s="4"/>
    </row>
    <row r="12" spans="1:2">
      <c r="A12" s="3" t="s">
        <v>8</v>
      </c>
      <c r="B12" s="5">
        <f>9802.88</f>
        <v>9802.8799999999992</v>
      </c>
    </row>
    <row r="13" spans="1:2">
      <c r="A13" s="3" t="s">
        <v>31</v>
      </c>
      <c r="B13" s="5">
        <f>1639</f>
        <v>1639</v>
      </c>
    </row>
    <row r="14" spans="1:2">
      <c r="A14" s="3" t="s">
        <v>9</v>
      </c>
      <c r="B14" s="5">
        <f>345.6</f>
        <v>345.6</v>
      </c>
    </row>
    <row r="15" spans="1:2">
      <c r="A15" s="3" t="s">
        <v>10</v>
      </c>
      <c r="B15" s="5">
        <f>11270.59</f>
        <v>11270.59</v>
      </c>
    </row>
    <row r="16" spans="1:2">
      <c r="A16" s="3" t="s">
        <v>12</v>
      </c>
      <c r="B16" s="5">
        <f>103062.74</f>
        <v>103062.74</v>
      </c>
    </row>
    <row r="17" spans="1:2" ht="22.5">
      <c r="A17" s="3" t="s">
        <v>36</v>
      </c>
      <c r="B17" s="5">
        <f>1000</f>
        <v>1000</v>
      </c>
    </row>
    <row r="18" spans="1:2">
      <c r="A18" s="3" t="s">
        <v>34</v>
      </c>
      <c r="B18" s="5">
        <f>211.46</f>
        <v>211.46</v>
      </c>
    </row>
    <row r="19" spans="1:2">
      <c r="A19" s="3" t="s">
        <v>13</v>
      </c>
      <c r="B19" s="5">
        <f>2510</f>
        <v>2510</v>
      </c>
    </row>
    <row r="20" spans="1:2">
      <c r="A20" s="3" t="s">
        <v>38</v>
      </c>
      <c r="B20" s="5">
        <f>10000</f>
        <v>10000</v>
      </c>
    </row>
    <row r="21" spans="1:2">
      <c r="A21" s="3" t="s">
        <v>14</v>
      </c>
      <c r="B21" s="5">
        <f>3751.25</f>
        <v>3751.25</v>
      </c>
    </row>
    <row r="22" spans="1:2">
      <c r="A22" s="3" t="s">
        <v>15</v>
      </c>
      <c r="B22" s="5">
        <f>1330.62</f>
        <v>1330.62</v>
      </c>
    </row>
    <row r="23" spans="1:2">
      <c r="A23" s="3" t="s">
        <v>16</v>
      </c>
      <c r="B23" s="5">
        <f>490.89</f>
        <v>490.89</v>
      </c>
    </row>
    <row r="24" spans="1:2">
      <c r="A24" s="3" t="s">
        <v>17</v>
      </c>
      <c r="B24" s="5">
        <f>1293.46</f>
        <v>1293.46</v>
      </c>
    </row>
    <row r="25" spans="1:2">
      <c r="A25" s="3" t="s">
        <v>18</v>
      </c>
      <c r="B25" s="5">
        <f>6360.52</f>
        <v>6360.52</v>
      </c>
    </row>
    <row r="26" spans="1:2">
      <c r="A26" s="3" t="s">
        <v>19</v>
      </c>
      <c r="B26" s="5">
        <f>18531</f>
        <v>18531</v>
      </c>
    </row>
    <row r="27" spans="1:2">
      <c r="A27" s="3" t="s">
        <v>21</v>
      </c>
      <c r="B27" s="5">
        <f>18915.75</f>
        <v>18915.75</v>
      </c>
    </row>
    <row r="28" spans="1:2">
      <c r="A28" s="3" t="s">
        <v>23</v>
      </c>
      <c r="B28" s="5">
        <f>1565.67</f>
        <v>1565.67</v>
      </c>
    </row>
    <row r="29" spans="1:2">
      <c r="A29" s="3" t="s">
        <v>24</v>
      </c>
      <c r="B29" s="5">
        <f>1855.06</f>
        <v>1855.06</v>
      </c>
    </row>
    <row r="30" spans="1:2">
      <c r="A30" s="3" t="s">
        <v>25</v>
      </c>
      <c r="B30" s="6">
        <f>(((((((((((((((((B12)+(B13))+(B14))+(B15))+(B16))+(B17))+(B18))+(B19))+(B20))+(B21))+(B22))+(B23))+(B24))+(B25))+(B26))+(B27))+(B28))+(B29)</f>
        <v>193936.49000000002</v>
      </c>
    </row>
    <row r="31" spans="1:2">
      <c r="A31" s="3" t="s">
        <v>26</v>
      </c>
      <c r="B31" s="6">
        <f>(B10)-(B30)</f>
        <v>-19323.950000000041</v>
      </c>
    </row>
    <row r="32" spans="1:2">
      <c r="A32" s="3" t="s">
        <v>27</v>
      </c>
      <c r="B32" s="6">
        <f>(B31)+(0)</f>
        <v>-19323.950000000041</v>
      </c>
    </row>
    <row r="33" spans="1:2">
      <c r="A33" s="3"/>
      <c r="B33" s="4"/>
    </row>
    <row r="36" spans="1:2">
      <c r="A36" s="7"/>
      <c r="B36" s="8"/>
    </row>
  </sheetData>
  <mergeCells count="3">
    <mergeCell ref="A1:B1"/>
    <mergeCell ref="A2:B2"/>
    <mergeCell ref="A36:B3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B41"/>
  <sheetViews>
    <sheetView topLeftCell="A16" workbookViewId="0">
      <selection activeCell="A41" sqref="A41:IV41"/>
    </sheetView>
  </sheetViews>
  <sheetFormatPr defaultRowHeight="12.75"/>
  <cols>
    <col min="1" max="1" width="27.42578125" customWidth="1"/>
    <col min="2" max="2" width="13.7109375" customWidth="1"/>
  </cols>
  <sheetData>
    <row r="1" spans="1:2" ht="18">
      <c r="A1" s="9" t="s">
        <v>28</v>
      </c>
      <c r="B1" s="8"/>
    </row>
    <row r="2" spans="1:2">
      <c r="A2" s="10" t="s">
        <v>42</v>
      </c>
      <c r="B2" s="8"/>
    </row>
    <row r="4" spans="1:2">
      <c r="A4" s="1"/>
      <c r="B4" s="2" t="s">
        <v>0</v>
      </c>
    </row>
    <row r="5" spans="1:2">
      <c r="A5" s="3" t="s">
        <v>1</v>
      </c>
      <c r="B5" s="4"/>
    </row>
    <row r="6" spans="1:2">
      <c r="A6" s="3" t="s">
        <v>2</v>
      </c>
      <c r="B6" s="5">
        <f>1975.83</f>
        <v>1975.83</v>
      </c>
    </row>
    <row r="7" spans="1:2">
      <c r="A7" s="3" t="s">
        <v>3</v>
      </c>
      <c r="B7" s="5">
        <f>5747.44</f>
        <v>5747.44</v>
      </c>
    </row>
    <row r="8" spans="1:2">
      <c r="A8" s="3" t="s">
        <v>4</v>
      </c>
      <c r="B8" s="5">
        <f>179756.4</f>
        <v>179756.4</v>
      </c>
    </row>
    <row r="9" spans="1:2">
      <c r="A9" s="3" t="s">
        <v>43</v>
      </c>
      <c r="B9" s="5">
        <f>1438.2</f>
        <v>1438.2</v>
      </c>
    </row>
    <row r="10" spans="1:2">
      <c r="A10" s="3" t="s">
        <v>5</v>
      </c>
      <c r="B10" s="6">
        <f>(((B6)+(B7))+(B8))+(B9)</f>
        <v>188917.87</v>
      </c>
    </row>
    <row r="11" spans="1:2">
      <c r="A11" s="3" t="s">
        <v>44</v>
      </c>
      <c r="B11" s="4"/>
    </row>
    <row r="12" spans="1:2">
      <c r="A12" s="3" t="s">
        <v>45</v>
      </c>
      <c r="B12" s="5">
        <f>1335.97</f>
        <v>1335.97</v>
      </c>
    </row>
    <row r="13" spans="1:2">
      <c r="A13" s="3" t="s">
        <v>46</v>
      </c>
      <c r="B13" s="6">
        <f>B12</f>
        <v>1335.97</v>
      </c>
    </row>
    <row r="14" spans="1:2">
      <c r="A14" s="3" t="s">
        <v>6</v>
      </c>
      <c r="B14" s="6">
        <f>(B10)-(B13)</f>
        <v>187581.9</v>
      </c>
    </row>
    <row r="15" spans="1:2">
      <c r="A15" s="3" t="s">
        <v>7</v>
      </c>
      <c r="B15" s="4"/>
    </row>
    <row r="16" spans="1:2">
      <c r="A16" s="3" t="s">
        <v>8</v>
      </c>
      <c r="B16" s="5">
        <f>11529.97</f>
        <v>11529.97</v>
      </c>
    </row>
    <row r="17" spans="1:2">
      <c r="A17" s="3" t="s">
        <v>9</v>
      </c>
      <c r="B17" s="5">
        <f>1393.49</f>
        <v>1393.49</v>
      </c>
    </row>
    <row r="18" spans="1:2">
      <c r="A18" s="3" t="s">
        <v>10</v>
      </c>
      <c r="B18" s="5">
        <f>9670.59</f>
        <v>9670.59</v>
      </c>
    </row>
    <row r="19" spans="1:2">
      <c r="A19" s="3" t="s">
        <v>11</v>
      </c>
      <c r="B19" s="5">
        <f>5191.02</f>
        <v>5191.0200000000004</v>
      </c>
    </row>
    <row r="20" spans="1:2">
      <c r="A20" s="3" t="s">
        <v>12</v>
      </c>
      <c r="B20" s="5">
        <f>101222.68</f>
        <v>101222.68</v>
      </c>
    </row>
    <row r="21" spans="1:2">
      <c r="A21" s="3" t="s">
        <v>36</v>
      </c>
      <c r="B21" s="5">
        <f>-6046.68</f>
        <v>-6046.68</v>
      </c>
    </row>
    <row r="22" spans="1:2">
      <c r="A22" s="3" t="s">
        <v>34</v>
      </c>
      <c r="B22" s="5">
        <f>397.04</f>
        <v>397.04</v>
      </c>
    </row>
    <row r="23" spans="1:2">
      <c r="A23" s="3" t="s">
        <v>13</v>
      </c>
      <c r="B23" s="5">
        <f>3290</f>
        <v>3290</v>
      </c>
    </row>
    <row r="24" spans="1:2">
      <c r="A24" s="3" t="s">
        <v>38</v>
      </c>
      <c r="B24" s="5">
        <f>11000</f>
        <v>11000</v>
      </c>
    </row>
    <row r="25" spans="1:2">
      <c r="A25" s="3" t="s">
        <v>14</v>
      </c>
      <c r="B25" s="5">
        <f>100</f>
        <v>100</v>
      </c>
    </row>
    <row r="26" spans="1:2">
      <c r="A26" s="3" t="s">
        <v>15</v>
      </c>
      <c r="B26" s="5">
        <f>2529.34</f>
        <v>2529.34</v>
      </c>
    </row>
    <row r="27" spans="1:2">
      <c r="A27" s="3" t="s">
        <v>16</v>
      </c>
      <c r="B27" s="5">
        <f>368.9</f>
        <v>368.9</v>
      </c>
    </row>
    <row r="28" spans="1:2">
      <c r="A28" s="3" t="s">
        <v>17</v>
      </c>
      <c r="B28" s="5">
        <f>1299.04</f>
        <v>1299.04</v>
      </c>
    </row>
    <row r="29" spans="1:2">
      <c r="A29" s="3" t="s">
        <v>18</v>
      </c>
      <c r="B29" s="5">
        <f>22138.6</f>
        <v>22138.6</v>
      </c>
    </row>
    <row r="30" spans="1:2">
      <c r="A30" s="3" t="s">
        <v>19</v>
      </c>
      <c r="B30" s="5">
        <f>15430.72</f>
        <v>15430.72</v>
      </c>
    </row>
    <row r="31" spans="1:2">
      <c r="A31" s="3" t="s">
        <v>21</v>
      </c>
      <c r="B31" s="5">
        <f>9350</f>
        <v>9350</v>
      </c>
    </row>
    <row r="32" spans="1:2">
      <c r="A32" s="3" t="s">
        <v>22</v>
      </c>
      <c r="B32" s="5">
        <f>2000</f>
        <v>2000</v>
      </c>
    </row>
    <row r="33" spans="1:2">
      <c r="A33" s="3" t="s">
        <v>23</v>
      </c>
      <c r="B33" s="5">
        <f>2919.93</f>
        <v>2919.93</v>
      </c>
    </row>
    <row r="34" spans="1:2">
      <c r="A34" s="3" t="s">
        <v>24</v>
      </c>
      <c r="B34" s="5">
        <f>340.82</f>
        <v>340.82</v>
      </c>
    </row>
    <row r="35" spans="1:2">
      <c r="A35" s="3" t="s">
        <v>25</v>
      </c>
      <c r="B35" s="6">
        <f>((((((((((((((((((B16)+(B17))+(B18))+(B19))+(B20))+(B21))+(B22))+(B23))+(B24))+(B25))+(B26))+(B27))+(B28))+(B29))+(B30))+(B31))+(B32))+(B33))+(B34)</f>
        <v>194125.46</v>
      </c>
    </row>
    <row r="36" spans="1:2">
      <c r="A36" s="3" t="s">
        <v>26</v>
      </c>
      <c r="B36" s="6">
        <f>(B14)-(B35)</f>
        <v>-6543.5599999999977</v>
      </c>
    </row>
    <row r="37" spans="1:2">
      <c r="A37" s="3" t="s">
        <v>27</v>
      </c>
      <c r="B37" s="6">
        <f>(B36)+(0)</f>
        <v>-6543.5599999999977</v>
      </c>
    </row>
    <row r="38" spans="1:2">
      <c r="A38" s="3"/>
      <c r="B38" s="4"/>
    </row>
    <row r="41" spans="1:2">
      <c r="A41" s="7"/>
      <c r="B41" s="8"/>
    </row>
  </sheetData>
  <mergeCells count="3">
    <mergeCell ref="A1:B1"/>
    <mergeCell ref="A2:B2"/>
    <mergeCell ref="A41:B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 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sertackirimli</dc:creator>
  <cp:lastModifiedBy>Tanmoy</cp:lastModifiedBy>
  <dcterms:created xsi:type="dcterms:W3CDTF">2015-08-05T17:21:08Z</dcterms:created>
  <dcterms:modified xsi:type="dcterms:W3CDTF">2015-08-05T19:02:38Z</dcterms:modified>
</cp:coreProperties>
</file>