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15525" windowHeight="8040" activeTab="0"/>
  </bookViews>
  <sheets>
    <sheet name="IncomeStatements" sheetId="1" r:id="rId1"/>
    <sheet name="BalanceSheets" sheetId="2" r:id="rId2"/>
    <sheet name="Task_1_Horizontal_Analysis" sheetId="3" r:id="rId3"/>
    <sheet name="Task 1 Vertical Analysis" sheetId="4" r:id="rId4"/>
    <sheet name="Task 1 Trend Analysis" sheetId="5" r:id="rId5"/>
    <sheet name="Task 1 Internal Controls" sheetId="6" r:id="rId6"/>
    <sheet name="Task2_Budgets_and_ProFormas" sheetId="7" r:id="rId7"/>
    <sheet name="Task_2_Flex_Budget_Variances" sheetId="8" r:id="rId8"/>
    <sheet name="Task_3_Canadian_Sales_Forecasts" sheetId="9" r:id="rId9"/>
    <sheet name="Task 3 Capital Structure" sheetId="10" r:id="rId10"/>
    <sheet name="Task_3_Capital_Budgeting" sheetId="11" r:id="rId11"/>
    <sheet name="Task 3 Lease vs. Buy" sheetId="12" r:id="rId12"/>
    <sheet name="Task 3 Merger Acquistion Build" sheetId="13" r:id="rId13"/>
    <sheet name="Task 4 Cost-Volume-Profit" sheetId="14" r:id="rId14"/>
    <sheet name="Task 4 Activity Based Costing" sheetId="15" r:id="rId15"/>
  </sheets>
  <definedNames>
    <definedName name="_xlnm.Print_Area" localSheetId="9">'Task 3 Capital Structure'!$B$5:$R$32</definedName>
    <definedName name="_xlnm.Print_Area" localSheetId="11">'Task 3 Lease vs. Buy'!$A$2:$U$46</definedName>
    <definedName name="_xlnm.Print_Area" localSheetId="12">'Task 3 Merger Acquistion Build'!$A$1:$S$44</definedName>
    <definedName name="_xlnm.Print_Area" localSheetId="14">'Task 4 Activity Based Costing'!$A$1:$P$69</definedName>
    <definedName name="_xlnm.Print_Area" localSheetId="13">'Task 4 Cost-Volume-Profit'!$A$1:$M$66</definedName>
    <definedName name="_xlnm.Print_Area" localSheetId="2">'Task_1_Horizontal_Analysis'!$A$1:$AE$92</definedName>
    <definedName name="_xlnm.Print_Area" localSheetId="7">'Task_2_Flex_Budget_Variances'!$A$1:$O$52</definedName>
    <definedName name="_xlnm.Print_Area" localSheetId="8">'Task_3_Canadian_Sales_Forecasts'!$A$1:$P$60</definedName>
    <definedName name="_xlnm.Print_Area" localSheetId="10">'Task_3_Capital_Budgeting'!$D$1:$O$82</definedName>
    <definedName name="_xlnm.Print_Area" localSheetId="6">'Task2_Budgets_and_ProFormas'!$A$1:$J$331</definedName>
  </definedNames>
  <calcPr fullCalcOnLoad="1"/>
</workbook>
</file>

<file path=xl/comments13.xml><?xml version="1.0" encoding="utf-8"?>
<comments xmlns="http://schemas.openxmlformats.org/spreadsheetml/2006/main">
  <authors>
    <author>Gary Carlson</author>
  </authors>
  <commentList>
    <comment ref="H9" authorId="0">
      <text>
        <r>
          <rPr>
            <sz val="8"/>
            <rFont val="Tahoma"/>
            <family val="2"/>
          </rPr>
          <t xml:space="preserve">The numbers below are from the current financial statements of Canadian Biking (converted to U.S. dollar amounts).  This is the pre-merger Canadian income.
</t>
        </r>
      </text>
    </comment>
    <comment ref="D23" authorId="0">
      <text>
        <r>
          <rPr>
            <sz val="8"/>
            <rFont val="Tahoma"/>
            <family val="2"/>
          </rPr>
          <t xml:space="preserve">These projections are the expected performance for Canadian Biking based on historical trends and the expected demand.
</t>
        </r>
      </text>
    </comment>
    <comment ref="N38" authorId="0">
      <text>
        <r>
          <rPr>
            <b/>
            <sz val="9"/>
            <rFont val="Tahoma"/>
            <family val="2"/>
          </rPr>
          <t xml:space="preserve">Competition Bikes has offered $1.43 per outstanding share. </t>
        </r>
        <r>
          <rPr>
            <sz val="9"/>
            <rFont val="Tahoma"/>
            <family val="2"/>
          </rPr>
          <t xml:space="preserve">
</t>
        </r>
      </text>
    </comment>
  </commentList>
</comments>
</file>

<file path=xl/sharedStrings.xml><?xml version="1.0" encoding="utf-8"?>
<sst xmlns="http://schemas.openxmlformats.org/spreadsheetml/2006/main" count="1104" uniqueCount="509">
  <si>
    <t>Current Assets:</t>
  </si>
  <si>
    <t>Current Liabilities:</t>
  </si>
  <si>
    <t xml:space="preserve"> </t>
  </si>
  <si>
    <t>Comparative Income Statements</t>
  </si>
  <si>
    <t>Comparative Balance Sheets</t>
  </si>
  <si>
    <t>Ratio:</t>
  </si>
  <si>
    <t>Ratio Analysis:</t>
  </si>
  <si>
    <t>Current Ratio</t>
  </si>
  <si>
    <t>Acid-Test Ratio</t>
  </si>
  <si>
    <t>Long-Term Liabilities:</t>
  </si>
  <si>
    <t>December 31, Years 8 and 7</t>
  </si>
  <si>
    <t>Year 8</t>
  </si>
  <si>
    <t>Year 7</t>
  </si>
  <si>
    <t xml:space="preserve">       Total Operating Expenses</t>
  </si>
  <si>
    <t xml:space="preserve">   OPERATING INCOME</t>
  </si>
  <si>
    <t>Interest Income (Expense):</t>
  </si>
  <si>
    <t xml:space="preserve">   Interest Income</t>
  </si>
  <si>
    <t xml:space="preserve">   Interest Expense</t>
  </si>
  <si>
    <t xml:space="preserve">       Interest, net</t>
  </si>
  <si>
    <t xml:space="preserve">   EARNINGS BEFORE INCOME TAXES</t>
  </si>
  <si>
    <t>Provision for Income Taxes</t>
  </si>
  <si>
    <t xml:space="preserve">   NET EARNINGS</t>
  </si>
  <si>
    <t xml:space="preserve">Year 8     </t>
  </si>
  <si>
    <t xml:space="preserve">      Year 8</t>
  </si>
  <si>
    <t xml:space="preserve">      Year 7</t>
  </si>
  <si>
    <t>ASSETS</t>
  </si>
  <si>
    <t xml:space="preserve">Property and Equipment, at cost: </t>
  </si>
  <si>
    <t xml:space="preserve">    Cash and Cash Equivalents</t>
  </si>
  <si>
    <t xml:space="preserve">    Accounts Receivable, net</t>
  </si>
  <si>
    <t xml:space="preserve">    Other Current Assets </t>
  </si>
  <si>
    <t xml:space="preserve">        Total Current Assets</t>
  </si>
  <si>
    <t xml:space="preserve">    Land</t>
  </si>
  <si>
    <t xml:space="preserve">    Furniture, Fixtures and Equipment</t>
  </si>
  <si>
    <t xml:space="preserve">    Less Accumulated Depreciation</t>
  </si>
  <si>
    <t xml:space="preserve">        Net Property and Equipment</t>
  </si>
  <si>
    <t>TOTAL ASSETS</t>
  </si>
  <si>
    <t>LIABILITIES</t>
  </si>
  <si>
    <t xml:space="preserve">    Accrued Salaries and Related Expense </t>
  </si>
  <si>
    <t xml:space="preserve">    Other Accrued Expenses</t>
  </si>
  <si>
    <t xml:space="preserve">        Total Current Liabilities</t>
  </si>
  <si>
    <t xml:space="preserve">    Accounts and Notes Payable</t>
  </si>
  <si>
    <t xml:space="preserve">    Other Long-Term Liabilities</t>
  </si>
  <si>
    <t xml:space="preserve">        Total Long-Term Liabilities</t>
  </si>
  <si>
    <t xml:space="preserve">             Total Liabilities</t>
  </si>
  <si>
    <t>STOCKHOLDERS' EQUITY:</t>
  </si>
  <si>
    <t xml:space="preserve">    Paid In Capital </t>
  </si>
  <si>
    <t xml:space="preserve">    Retained Earnings</t>
  </si>
  <si>
    <t xml:space="preserve">        Total Stockholders' Equity </t>
  </si>
  <si>
    <t>TOTAL LIABILITIES and EQUITY</t>
  </si>
  <si>
    <t xml:space="preserve">    Short-Term Investments</t>
  </si>
  <si>
    <t>Horizontal Analysis</t>
  </si>
  <si>
    <t>Change</t>
  </si>
  <si>
    <t>% Inc (Dec)</t>
  </si>
  <si>
    <t>Year 6</t>
  </si>
  <si>
    <t>Competition Bikes, Inc.</t>
  </si>
  <si>
    <t>Cost of Goods Sold</t>
  </si>
  <si>
    <t xml:space="preserve">    Raw Materials Inventory</t>
  </si>
  <si>
    <t xml:space="preserve">    Work In Process Inventory</t>
  </si>
  <si>
    <t xml:space="preserve">    Finished Goods Inventory</t>
  </si>
  <si>
    <t xml:space="preserve">    Manufacturing Plants and Offices</t>
  </si>
  <si>
    <t xml:space="preserve">      Year 6</t>
  </si>
  <si>
    <t>Balance Sheets</t>
  </si>
  <si>
    <t>December 31, Years 6, 7, and 8</t>
  </si>
  <si>
    <t>Titanium</t>
  </si>
  <si>
    <t>REVENUE:</t>
  </si>
  <si>
    <t>Net Sales</t>
  </si>
  <si>
    <t xml:space="preserve">  Gross Profit</t>
  </si>
  <si>
    <t>OPERATING EXPENSES</t>
  </si>
  <si>
    <t xml:space="preserve">   Website Creation and Maintenance</t>
  </si>
  <si>
    <t xml:space="preserve">   Advertising </t>
  </si>
  <si>
    <t xml:space="preserve">   Distribution Network Support</t>
  </si>
  <si>
    <t>Selling Expenses</t>
  </si>
  <si>
    <t>General and Admin Expenses</t>
  </si>
  <si>
    <t xml:space="preserve">   Utilities</t>
  </si>
  <si>
    <t xml:space="preserve">   Payroll Services</t>
  </si>
  <si>
    <t xml:space="preserve">   Other General and Admin Expenses</t>
  </si>
  <si>
    <t xml:space="preserve">     Total General and Admin Expenses</t>
  </si>
  <si>
    <t xml:space="preserve">     Total Selling Expense</t>
  </si>
  <si>
    <t xml:space="preserve">   Administrative Salaries </t>
  </si>
  <si>
    <t xml:space="preserve">   Executive Compensation</t>
  </si>
  <si>
    <t xml:space="preserve">   Employment taxes</t>
  </si>
  <si>
    <t xml:space="preserve">   Research and Development</t>
  </si>
  <si>
    <t xml:space="preserve">   Transportation Out</t>
  </si>
  <si>
    <t xml:space="preserve">    Common Stock ($1.00 Par)</t>
  </si>
  <si>
    <t xml:space="preserve">   Depreciation Expense</t>
  </si>
  <si>
    <t xml:space="preserve">    Mortgage Payable</t>
  </si>
  <si>
    <t>Selling Price</t>
  </si>
  <si>
    <t>Year 9</t>
  </si>
  <si>
    <t>Year 11</t>
  </si>
  <si>
    <t>Year 13</t>
  </si>
  <si>
    <t>Sales in units</t>
  </si>
  <si>
    <t>Selling price</t>
  </si>
  <si>
    <t>Revenue From Sales</t>
  </si>
  <si>
    <t>Expected units to be sold</t>
  </si>
  <si>
    <t>Plus desired ending inventory</t>
  </si>
  <si>
    <t xml:space="preserve">Less beginning inventory </t>
  </si>
  <si>
    <t>Total Units to Be Produced</t>
  </si>
  <si>
    <t>Unit price</t>
  </si>
  <si>
    <t>Total Costs</t>
  </si>
  <si>
    <t>Total Overhead</t>
  </si>
  <si>
    <t>Advertising Expenses</t>
  </si>
  <si>
    <t>Cash Budget</t>
  </si>
  <si>
    <t>Variable Selling Expenses</t>
  </si>
  <si>
    <t>Net Cash Increase (Decrease)</t>
  </si>
  <si>
    <t>Loan Repayments</t>
  </si>
  <si>
    <t>Total</t>
  </si>
  <si>
    <t>Competion Bikes, Inc.</t>
  </si>
  <si>
    <t>Production Budget</t>
  </si>
  <si>
    <t>For the Year Ended December 31, Year 9</t>
  </si>
  <si>
    <t>Expected Costs of New Product:</t>
  </si>
  <si>
    <t xml:space="preserve">   Depreciation on new asset</t>
  </si>
  <si>
    <t xml:space="preserve">   Selling and administrative expenses</t>
  </si>
  <si>
    <t>Income before taxes</t>
  </si>
  <si>
    <t>Income tax at 25% marginal rate</t>
  </si>
  <si>
    <t>Net income</t>
  </si>
  <si>
    <t>Net cash flow</t>
  </si>
  <si>
    <t>Cash Flows</t>
  </si>
  <si>
    <t xml:space="preserve">Year 1 </t>
  </si>
  <si>
    <t xml:space="preserve">Present </t>
  </si>
  <si>
    <t>PV Factors</t>
  </si>
  <si>
    <t xml:space="preserve">Value </t>
  </si>
  <si>
    <t xml:space="preserve">Year 2 </t>
  </si>
  <si>
    <t xml:space="preserve">Year 3 </t>
  </si>
  <si>
    <t xml:space="preserve">Year 4 </t>
  </si>
  <si>
    <t>Working Capital Return</t>
  </si>
  <si>
    <t>Salvage Return</t>
  </si>
  <si>
    <t>Total Present Value</t>
  </si>
  <si>
    <t>Investment</t>
  </si>
  <si>
    <t>Net Present Value</t>
  </si>
  <si>
    <t>Internal Rate of Return:</t>
  </si>
  <si>
    <t>Internal Rate of Return</t>
  </si>
  <si>
    <t>Expected Annual Sales Increase from New Location</t>
  </si>
  <si>
    <t>Year 10</t>
  </si>
  <si>
    <t>Year 12</t>
  </si>
  <si>
    <t>Projected Income Statement for New Product - Low Demand</t>
  </si>
  <si>
    <t>Projected Income Statement for New Product - Moderate Demand</t>
  </si>
  <si>
    <t xml:space="preserve">Year 9 </t>
  </si>
  <si>
    <t xml:space="preserve">Year 10 </t>
  </si>
  <si>
    <t>Net Present Value - Low Demand:</t>
  </si>
  <si>
    <t>Net Present Value - Moderate Demand:</t>
  </si>
  <si>
    <t>Low Demand</t>
  </si>
  <si>
    <t xml:space="preserve"> Moderate Demand</t>
  </si>
  <si>
    <t xml:space="preserve">Year 5 </t>
  </si>
  <si>
    <t>Competition Bikes, Inc. Lease vs. Buy Decision</t>
  </si>
  <si>
    <t>Trend Percentages</t>
  </si>
  <si>
    <t>Raw Materials Budget--Components</t>
  </si>
  <si>
    <t>Item</t>
  </si>
  <si>
    <t>Quality Control</t>
  </si>
  <si>
    <t>Product Movements</t>
  </si>
  <si>
    <t>Engineering Services</t>
  </si>
  <si>
    <t>Activity Cost Pool</t>
  </si>
  <si>
    <t>Cost Driver</t>
  </si>
  <si>
    <t>Cost Driver Quantity</t>
  </si>
  <si>
    <t>Pool Rate</t>
  </si>
  <si>
    <t>Product Line</t>
  </si>
  <si>
    <t>Cost Driver Quantity for Product Line</t>
  </si>
  <si>
    <t>Activity Cost for Product Line</t>
  </si>
  <si>
    <t>Activity Cost per Unit of Product</t>
  </si>
  <si>
    <t>Product Line Production Volume</t>
  </si>
  <si>
    <t>Carbon DL</t>
  </si>
  <si>
    <t>Setups</t>
  </si>
  <si>
    <t>Control</t>
  </si>
  <si>
    <t>Quality</t>
  </si>
  <si>
    <t>Service</t>
  </si>
  <si>
    <t>Engineering</t>
  </si>
  <si>
    <t>Movements</t>
  </si>
  <si>
    <t>Summary:</t>
  </si>
  <si>
    <t>Direct Material</t>
  </si>
  <si>
    <t>Direct Labor</t>
  </si>
  <si>
    <t>Manufacturing Overhead (ABC)</t>
  </si>
  <si>
    <t>Unit Cost - Traditional</t>
  </si>
  <si>
    <t>Unit Cost - Activity Based</t>
  </si>
  <si>
    <t>Alternative Capital Sources</t>
  </si>
  <si>
    <t>Bonds</t>
  </si>
  <si>
    <t>Preferred</t>
  </si>
  <si>
    <t>Common</t>
  </si>
  <si>
    <t>Earnings before Interest and Tax (EBIT)</t>
  </si>
  <si>
    <t>Interest on Bonds</t>
  </si>
  <si>
    <t xml:space="preserve">   Income before tax (EBT)</t>
  </si>
  <si>
    <t xml:space="preserve">  Net Income</t>
  </si>
  <si>
    <t>Preferred Stock Dividends</t>
  </si>
  <si>
    <t>Total Income Available for Common Stock</t>
  </si>
  <si>
    <t>Common Stock Shares Outstanding</t>
  </si>
  <si>
    <t>Earnings per Common Stock share</t>
  </si>
  <si>
    <t xml:space="preserve">Financial Data for  Competition Bikes and Canadian Biking </t>
  </si>
  <si>
    <t>Earnings Available for Common Stock</t>
  </si>
  <si>
    <t>Earnings per share</t>
  </si>
  <si>
    <t>Market price per share</t>
  </si>
  <si>
    <t>Price/Earnings ratio</t>
  </si>
  <si>
    <t>Competition Bikes</t>
  </si>
  <si>
    <t>Canadian Biking</t>
  </si>
  <si>
    <t>Earnings per Share</t>
  </si>
  <si>
    <t>Before Merger</t>
  </si>
  <si>
    <t>After Merger</t>
  </si>
  <si>
    <t>Assessing Expansion by Merger or Acquistion</t>
  </si>
  <si>
    <t>CONSIDER A MERGER</t>
  </si>
  <si>
    <t xml:space="preserve">Net Present Value of Canadian Biking    </t>
  </si>
  <si>
    <t>Years</t>
  </si>
  <si>
    <t>Cash Inflows</t>
  </si>
  <si>
    <t>Present Value</t>
  </si>
  <si>
    <t>factor</t>
  </si>
  <si>
    <t>Present</t>
  </si>
  <si>
    <t>Value</t>
  </si>
  <si>
    <t xml:space="preserve">CONSIDER AS AN ACQUISTION               </t>
  </si>
  <si>
    <t>C</t>
  </si>
  <si>
    <t>Sales Units</t>
  </si>
  <si>
    <t>Titianium</t>
  </si>
  <si>
    <t>Carbon Lite</t>
  </si>
  <si>
    <t>December 31, Year 8</t>
  </si>
  <si>
    <t>Direct Materials</t>
  </si>
  <si>
    <t>Manufacturing Overhead - Variable</t>
  </si>
  <si>
    <t>Contribution Margin</t>
  </si>
  <si>
    <t>Depreciation</t>
  </si>
  <si>
    <t>Factory Setups</t>
  </si>
  <si>
    <t>Total Fixed Manufacturing Expenses</t>
  </si>
  <si>
    <t>Total direct cost per unit for materials and labor</t>
  </si>
  <si>
    <t>QC Inspections</t>
  </si>
  <si>
    <t>Factory</t>
  </si>
  <si>
    <t>Product</t>
  </si>
  <si>
    <t>Forklift Service</t>
  </si>
  <si>
    <t>Factory use by prod</t>
  </si>
  <si>
    <t>Utiliities and Services</t>
  </si>
  <si>
    <t xml:space="preserve">SARBANES - OXLEY (SOX) Requirements </t>
  </si>
  <si>
    <t>Expected bikes to be produced</t>
  </si>
  <si>
    <t xml:space="preserve">Plus target ending inventory </t>
  </si>
  <si>
    <t>Less beginning inventory</t>
  </si>
  <si>
    <t>Total component sets to be purchased</t>
  </si>
  <si>
    <t xml:space="preserve">Target ending Inventory </t>
  </si>
  <si>
    <t xml:space="preserve">Year 9    </t>
  </si>
  <si>
    <t>Budgeted Balance Sheet</t>
  </si>
  <si>
    <t>Budgeted Income Statement</t>
  </si>
  <si>
    <t>Competition Bikes, Inc. Capital Budgeting for New Canadian Plant decision</t>
  </si>
  <si>
    <t>Sales Budget</t>
  </si>
  <si>
    <t>Years 7 and 8</t>
  </si>
  <si>
    <t>Years 6 and 7</t>
  </si>
  <si>
    <t>N/A</t>
  </si>
  <si>
    <t>Historical Trend Analysis</t>
  </si>
  <si>
    <t>December 31, Years 6-8</t>
  </si>
  <si>
    <t>December 31, Years 9, 10, &amp; 11</t>
  </si>
  <si>
    <t>Based on what you know about the company internal controls did management make the correct</t>
  </si>
  <si>
    <t>Expected production</t>
  </si>
  <si>
    <t>Direct Labor hours per unit</t>
  </si>
  <si>
    <t>Total direct labor hours needed</t>
  </si>
  <si>
    <t>Cost per direct labor hour</t>
  </si>
  <si>
    <t>Total direct labor cost per model</t>
  </si>
  <si>
    <t>Total materials for frame production</t>
  </si>
  <si>
    <t>Direct Labor Budget</t>
  </si>
  <si>
    <t>Manufacturing Overhead Budget</t>
  </si>
  <si>
    <t xml:space="preserve">Total </t>
  </si>
  <si>
    <t>Accounts payable, beginning balance</t>
  </si>
  <si>
    <t>Accounts payable, ending balance</t>
  </si>
  <si>
    <t>Total Cost for Frame Materials</t>
  </si>
  <si>
    <t>Total frame materials purchases</t>
  </si>
  <si>
    <t>Cash disbursements for materials</t>
  </si>
  <si>
    <t>Accounts receivable, beginning balance</t>
  </si>
  <si>
    <t>Total budgeted revenue</t>
  </si>
  <si>
    <t>Accounts receivable</t>
  </si>
  <si>
    <t>Cash receipts from collections</t>
  </si>
  <si>
    <t>Manufacturing Overhead</t>
  </si>
  <si>
    <t xml:space="preserve">   Sales Commissions</t>
  </si>
  <si>
    <t>Overhead</t>
  </si>
  <si>
    <t>Income Tax (25% marginal rate)</t>
  </si>
  <si>
    <t>Inventory Turnover</t>
  </si>
  <si>
    <t>Average Collection Period</t>
  </si>
  <si>
    <t>Debt Ratio</t>
  </si>
  <si>
    <t>Gross Profit Margin</t>
  </si>
  <si>
    <t>Operating Profit Margin</t>
  </si>
  <si>
    <t>Net Profit Margin</t>
  </si>
  <si>
    <t>Return on Total Assets</t>
  </si>
  <si>
    <t>Return on Common Equity</t>
  </si>
  <si>
    <t>Price / Earnings Ratio</t>
  </si>
  <si>
    <t>End of Year</t>
  </si>
  <si>
    <t xml:space="preserve">Loan </t>
  </si>
  <si>
    <t>Payments</t>
  </si>
  <si>
    <t>Beg., Year</t>
  </si>
  <si>
    <t>Principal</t>
  </si>
  <si>
    <t>Interest</t>
  </si>
  <si>
    <t>End Year</t>
  </si>
  <si>
    <t>Interest and Principal Calculations</t>
  </si>
  <si>
    <t>Operational</t>
  </si>
  <si>
    <t>Costs</t>
  </si>
  <si>
    <t>Deductions</t>
  </si>
  <si>
    <t xml:space="preserve">Tax </t>
  </si>
  <si>
    <t>Shields</t>
  </si>
  <si>
    <t>After Tax</t>
  </si>
  <si>
    <t>After tax Cash Flow if Purchased</t>
  </si>
  <si>
    <t xml:space="preserve">Lease  vs. Purchase Comparison of Cash Flows </t>
  </si>
  <si>
    <t>Factors</t>
  </si>
  <si>
    <t xml:space="preserve">Present Value </t>
  </si>
  <si>
    <t>of Outflows</t>
  </si>
  <si>
    <t>Leasing</t>
  </si>
  <si>
    <t>Purchasing</t>
  </si>
  <si>
    <t># of shares of common stock outstanding</t>
  </si>
  <si>
    <t xml:space="preserve">Titanium Units   </t>
  </si>
  <si>
    <t xml:space="preserve">Carbon Lite Units  </t>
  </si>
  <si>
    <t>Fixed Manufacturing Expenses:</t>
  </si>
  <si>
    <t>Fixed Selling Expenses:</t>
  </si>
  <si>
    <t>Fixed General and Admin Expenses:</t>
  </si>
  <si>
    <t>Six overhead items with identified costs</t>
  </si>
  <si>
    <t>Total ABC Overhead Cost</t>
  </si>
  <si>
    <t xml:space="preserve">    Manufacturing Plants</t>
  </si>
  <si>
    <t xml:space="preserve">    Non-Manufacturing Assets</t>
  </si>
  <si>
    <t>COGS</t>
  </si>
  <si>
    <t>D</t>
  </si>
  <si>
    <t>E</t>
  </si>
  <si>
    <t>G</t>
  </si>
  <si>
    <t>Yr 8</t>
  </si>
  <si>
    <t>Yr 8 Materials</t>
  </si>
  <si>
    <t>Labor</t>
  </si>
  <si>
    <t>Variable</t>
  </si>
  <si>
    <t>Sales Comm</t>
  </si>
  <si>
    <t>MSRP</t>
  </si>
  <si>
    <t xml:space="preserve">Trade Disc. </t>
  </si>
  <si>
    <t>YR</t>
  </si>
  <si>
    <t>D131 - CL</t>
  </si>
  <si>
    <t>D133 - CL</t>
  </si>
  <si>
    <t>D135 - CL</t>
  </si>
  <si>
    <t>Yr 7 Materials</t>
  </si>
  <si>
    <t>Yr 6 Materials</t>
  </si>
  <si>
    <t>Yr7</t>
  </si>
  <si>
    <t>Yr 6</t>
  </si>
  <si>
    <t xml:space="preserve"> H</t>
  </si>
  <si>
    <t>F</t>
  </si>
  <si>
    <t xml:space="preserve">   Transportation Out ($30/unit contract)</t>
  </si>
  <si>
    <t xml:space="preserve">   Advertising (60% variable)</t>
  </si>
  <si>
    <t xml:space="preserve">   Utilities &amp; Services </t>
  </si>
  <si>
    <t xml:space="preserve">   Payroll Service - non manufacturing</t>
  </si>
  <si>
    <t>Other manu Ex</t>
  </si>
  <si>
    <t>Forecasted Trend Analysis with Year 8 as base year</t>
  </si>
  <si>
    <t xml:space="preserve">   Payroll Services - non manufacturing</t>
  </si>
  <si>
    <t>e</t>
  </si>
  <si>
    <t>g</t>
  </si>
  <si>
    <t>i</t>
  </si>
  <si>
    <t xml:space="preserve">   Payroll Services - Non Manufacturing</t>
  </si>
  <si>
    <t>--</t>
  </si>
  <si>
    <t>B</t>
  </si>
  <si>
    <t>H</t>
  </si>
  <si>
    <t>Schedule of Cash Receipts</t>
  </si>
  <si>
    <t>Made to order</t>
  </si>
  <si>
    <t>Units expected to be sold</t>
  </si>
  <si>
    <t>Raw Materials Budget--Frame Materials</t>
  </si>
  <si>
    <t>Total Carbon Fiber sheets to purchase</t>
  </si>
  <si>
    <t>Unit Level Costs:</t>
  </si>
  <si>
    <t>Batch Level Costs:</t>
  </si>
  <si>
    <t>Product Level Costs:</t>
  </si>
  <si>
    <t>Facility and General Operations Level Costs:</t>
  </si>
  <si>
    <t>Material Handling</t>
  </si>
  <si>
    <t>Utilities and Services</t>
  </si>
  <si>
    <t>Less Depreciation</t>
  </si>
  <si>
    <t>Total Cash Disbursed for Overhead.</t>
  </si>
  <si>
    <t>Total Unit Level Costs</t>
  </si>
  <si>
    <t>Total Batch Level Costs</t>
  </si>
  <si>
    <t>Total Product Level Costs</t>
  </si>
  <si>
    <t>Total Facility and General Operations Level Costs</t>
  </si>
  <si>
    <t>Selling, General, and Administrative Budget</t>
  </si>
  <si>
    <t>Unit Level Expenses:</t>
  </si>
  <si>
    <t>Total Unit Level Expenses</t>
  </si>
  <si>
    <t>Facility and General Operations Level Expenses:</t>
  </si>
  <si>
    <t>Total Facility and General Operations Level Expenses</t>
  </si>
  <si>
    <t>Customer Level Expenses:</t>
  </si>
  <si>
    <t>Total Customer Level Expenses</t>
  </si>
  <si>
    <t>Transportation Out</t>
  </si>
  <si>
    <t>Cash Receipts</t>
  </si>
  <si>
    <t>Receipts:</t>
  </si>
  <si>
    <t>Disbursements</t>
  </si>
  <si>
    <t>Total of  Cash Disbursements</t>
  </si>
  <si>
    <t>Interest Income</t>
  </si>
  <si>
    <t>Interest Expense</t>
  </si>
  <si>
    <t>Raw Materials</t>
  </si>
  <si>
    <t xml:space="preserve">  Gross Margin</t>
  </si>
  <si>
    <t>Selling, General, Administrative Expenses</t>
  </si>
  <si>
    <t>Cash Balance at Year end</t>
  </si>
  <si>
    <t>Cash Flows from Operating Activity:</t>
  </si>
  <si>
    <t>Cash Flows from Financing Activity:</t>
  </si>
  <si>
    <t>Cash Flows from Investing  Activity:</t>
  </si>
  <si>
    <t>Net Cash Flow from Financing Activities</t>
  </si>
  <si>
    <t>Net Cash Flow from Investing Activities</t>
  </si>
  <si>
    <t>Net Cash Flow from Operating Activities</t>
  </si>
  <si>
    <t>Net Increase in Cash</t>
  </si>
  <si>
    <t>Beginning of Year Cash Balance</t>
  </si>
  <si>
    <t>End of Year Cash Balance</t>
  </si>
  <si>
    <t>Cash receipts from customers</t>
  </si>
  <si>
    <t>Cash Paid for raw materials</t>
  </si>
  <si>
    <t>Cash Paid for Direct Labor</t>
  </si>
  <si>
    <t>Cash Paid for Manufacturing Overhead</t>
  </si>
  <si>
    <t>Cash Paid for Selling, General, Admin Expenses</t>
  </si>
  <si>
    <t>Interest Revenue</t>
  </si>
  <si>
    <t>Mortgage Principal</t>
  </si>
  <si>
    <t>Variable Costs:</t>
  </si>
  <si>
    <t>Total Variable Costs:</t>
  </si>
  <si>
    <t xml:space="preserve">   Utilities and services </t>
  </si>
  <si>
    <t xml:space="preserve">   Depreciation Expense </t>
  </si>
  <si>
    <t>Unfavorable</t>
  </si>
  <si>
    <t>Favorable/</t>
  </si>
  <si>
    <t>Variance</t>
  </si>
  <si>
    <t xml:space="preserve"> Amount</t>
  </si>
  <si>
    <t>Carbon Fiber Sheets/Unit</t>
  </si>
  <si>
    <t>Budgeted Cash Flow Statement</t>
  </si>
  <si>
    <t xml:space="preserve">   Distribution Network Contracted Support</t>
  </si>
  <si>
    <t>Budgeted Contribution Margin Income Statement</t>
  </si>
  <si>
    <t>Actual Output</t>
  </si>
  <si>
    <t xml:space="preserve">Two Wheel </t>
  </si>
  <si>
    <t>Racing</t>
  </si>
  <si>
    <t>No FGI.  Shipped when made</t>
  </si>
  <si>
    <t xml:space="preserve">    Treasury Stock, at $4/share cost (25,000 Sh)</t>
  </si>
  <si>
    <t>U</t>
  </si>
  <si>
    <t>Selling and Admin Expenses</t>
  </si>
  <si>
    <t xml:space="preserve">     Total Selling and Admin</t>
  </si>
  <si>
    <t xml:space="preserve">   Factory Manager/Staff</t>
  </si>
  <si>
    <t xml:space="preserve">   Cost of Goods Sold (Direct materials &amp; Labor, $80/unit O/H</t>
  </si>
  <si>
    <t>Cash buyout</t>
  </si>
  <si>
    <t>9</t>
  </si>
  <si>
    <t>Offer Price:</t>
  </si>
  <si>
    <t>Offer/share:</t>
  </si>
  <si>
    <t>After tax earnings per year</t>
  </si>
  <si>
    <t xml:space="preserve">   EARNINGS </t>
  </si>
  <si>
    <t>December 31, Years 13 - 9</t>
  </si>
  <si>
    <t>Down Payment</t>
  </si>
  <si>
    <t>Traditional</t>
  </si>
  <si>
    <t>ABC</t>
  </si>
  <si>
    <t>Titanium XL</t>
  </si>
  <si>
    <t>CarbonLite</t>
  </si>
  <si>
    <t>Unit Cost Summary</t>
  </si>
  <si>
    <t>DM -T</t>
  </si>
  <si>
    <t xml:space="preserve">       -C</t>
  </si>
  <si>
    <t>DL - T</t>
  </si>
  <si>
    <t xml:space="preserve">    Treasury Stock, at cost (25,000 shares @ $4/share</t>
  </si>
  <si>
    <t>THIS STATEMENT IS PRESENTED IN ANNUAL REPORT SEQUENCE.  SOME OF THE ANALYSIS</t>
  </si>
  <si>
    <t>SHEETS THAT FOLLOW ARE IN YEAR TO YEAR ORDER. BE SURE TO SELECT CORRECT DATA.</t>
  </si>
  <si>
    <t>Total Product cost</t>
  </si>
  <si>
    <t>Unit Cost Comparisons:</t>
  </si>
  <si>
    <t>Times Interest Earned</t>
  </si>
  <si>
    <t xml:space="preserve">   Advertising (variable)</t>
  </si>
  <si>
    <t>Sales Commissions (variable)</t>
  </si>
  <si>
    <t>Transportation Out (variable)</t>
  </si>
  <si>
    <t>Budgeted Schedule of Cost of Goods Manufactured and Sold</t>
  </si>
  <si>
    <t xml:space="preserve">  Raw Materials Inventory, January 1</t>
  </si>
  <si>
    <t xml:space="preserve">  Add: Purchases of Raw Materials</t>
  </si>
  <si>
    <t xml:space="preserve">  Raw Materials Available for Use</t>
  </si>
  <si>
    <t xml:space="preserve">  Deduct: Raw Materials, December 31</t>
  </si>
  <si>
    <t>Manufacturing Overhead:</t>
  </si>
  <si>
    <t>Cost of Goods Manufactured</t>
  </si>
  <si>
    <t>Add: Finished Goods Inventory, January 1</t>
  </si>
  <si>
    <t>Cost of Goods Available for Sale</t>
  </si>
  <si>
    <t>Deduct: Finished Goods Inventory, December 31</t>
  </si>
  <si>
    <t>.</t>
  </si>
  <si>
    <t>Distribution Network Support (fixed)</t>
  </si>
  <si>
    <t xml:space="preserve">   Utilities and Services</t>
  </si>
  <si>
    <t xml:space="preserve">   Interest Expense Paid</t>
  </si>
  <si>
    <t>Direct Materials Used</t>
  </si>
  <si>
    <t>9% Bonds</t>
  </si>
  <si>
    <t xml:space="preserve">9% Bonds and </t>
  </si>
  <si>
    <t>Common Stock</t>
  </si>
  <si>
    <t xml:space="preserve">   Earnings before Interest and Tax</t>
  </si>
  <si>
    <t xml:space="preserve">50% Preferred </t>
  </si>
  <si>
    <t>50% Common Stock</t>
  </si>
  <si>
    <t xml:space="preserve">(5%, $50 par) and </t>
  </si>
  <si>
    <t xml:space="preserve">   Mortgage Payable</t>
  </si>
  <si>
    <t xml:space="preserve">   Other Long-Term Liabilities</t>
  </si>
  <si>
    <t>Schedule of Expected Cash Disbursements</t>
  </si>
  <si>
    <t>Cash Balance at Beginning of Year</t>
  </si>
  <si>
    <t xml:space="preserve">   Earnings Before Income Taxes</t>
  </si>
  <si>
    <t>Canadian Biking Earnings Projections</t>
  </si>
  <si>
    <t>Canadian Biking has been increasing sales over the last couple of years.</t>
  </si>
  <si>
    <t>This growth is expected to continue at about 10% per year.</t>
  </si>
  <si>
    <t>Use cell K6 to enter the EBIT from the Canadian Sales Forecast.  Each year can be analyzed individually.</t>
  </si>
  <si>
    <t>Comparative Income Statements - Moderate Sales Expectations</t>
  </si>
  <si>
    <t>Comparative Pro Forma  Income Statements - Low Sales Expectations</t>
  </si>
  <si>
    <t>December 31, Year 9</t>
  </si>
  <si>
    <t>Utilites</t>
  </si>
  <si>
    <t xml:space="preserve"> Overhead Analysis - Traditional vs. ABC</t>
  </si>
  <si>
    <t xml:space="preserve">    Treasury Stock, at $4 cost (25000 Sh)</t>
  </si>
  <si>
    <t>The $200,000 in working capital and $50,000 down payment would have to be internally funded.</t>
  </si>
  <si>
    <t>Competition Bikes, Inc. (Forecasted Canadian Operations)</t>
  </si>
  <si>
    <t>Balance Sheet</t>
  </si>
  <si>
    <t>Total cost of component sets</t>
  </si>
  <si>
    <t>San Diego Plant Sales Mix (Titanium, 900 units; CarbonLite, 500 units)</t>
  </si>
  <si>
    <t>Sales price per unit</t>
  </si>
  <si>
    <t>Variable Cost per Unit</t>
  </si>
  <si>
    <t>Contribution Margin per Unit</t>
  </si>
  <si>
    <t>Sales mix in units</t>
  </si>
  <si>
    <t>Contributin margin</t>
  </si>
  <si>
    <t>Weight average contribution margin/unit</t>
  </si>
  <si>
    <t>Breakeven units for the product sales mix:</t>
  </si>
  <si>
    <t>The breakeven point in units for each model.</t>
  </si>
  <si>
    <t>The breakeven point in sales dollars for each model.</t>
  </si>
  <si>
    <t>$50,000 increase in fixed costs and 10% direct materials increase</t>
  </si>
  <si>
    <t>Determine the breakeven point for Competition Bikes with increases:</t>
  </si>
  <si>
    <t>The breakeven point in units for each model with increases.</t>
  </si>
  <si>
    <t>The breakeven point in sales dollars for each model with increases.</t>
  </si>
  <si>
    <t xml:space="preserve">San Diego Sales Mix (Titanium, 900 units; CarbonLite, 500 units) </t>
  </si>
  <si>
    <t>Units</t>
  </si>
  <si>
    <t>Revenue/unit</t>
  </si>
  <si>
    <t>Determine the Competition Bikes' breakeven point based on the San Diego plants  costs and the fixed costs given in the case.</t>
  </si>
  <si>
    <t xml:space="preserve">   Other Utilities and  Services</t>
  </si>
  <si>
    <t xml:space="preserve">“The purchasing department will issue a purchase order to the supplier based on the monthly budget projections. Purchasing checks with three sources for similar quality materials and selects the low bidder from the three.  The purchase order is sent to the supplier by the Purchasing Department on the first of the projected month.  Upon receipt of the goods they will be brought to the production line for use during the month.  Any unused parts are sent to the raw materials inventory stores on the last day of the month.  Purchasing sends the suppliers invoice to accounting and accounting writes a check to pay the invoice. “  </t>
  </si>
  <si>
    <t>Management is responsible for ensuring  the internal control processes  prevent material misstatements from being reported in the financial statements. They also must provide a Report on Internal Control that is published in the annual report.   The following excerpt from the Competition Bikes, Inc. year end report  indicates no material weaknesses existed.</t>
  </si>
  <si>
    <t>“The management of Competition Bikes, Inc. is responsible for establishing and maintaining adequate internal control over financial reporting.  Competition Bikes, Inc. internal control system was designed to provide reasonable assurance to the company’s management and board of directors regarding the preparation and fair presentation of published financial statements.</t>
  </si>
  <si>
    <r>
      <t xml:space="preserve">Competition Bikes, Inc.  assessed the effectiveness of the company’s internal control over financial reporting as of December 31, Year 8.  In making this assessment, we used the criteria set forth by the Committee of Sponsoring Organizations of the Treadway Commission (COSO) in </t>
    </r>
    <r>
      <rPr>
        <i/>
        <sz val="11"/>
        <rFont val="Calibri"/>
        <family val="2"/>
      </rPr>
      <t>Internal Control-Integrated Framework</t>
    </r>
    <r>
      <rPr>
        <sz val="11"/>
        <rFont val="Calibri"/>
        <family val="2"/>
      </rPr>
      <t>.  Based on our assessment we believe that, as of December 31, Year 8, the company’s internal control over financial reporting is effective based on those criteria.”</t>
    </r>
  </si>
  <si>
    <t>Internal Controls</t>
  </si>
  <si>
    <t>CHOOSING AN OPTIMAL CAPITAL STRUCTURE FOR THE MODERATE CANADIAN BUDGETED EARNINGS</t>
  </si>
  <si>
    <t xml:space="preserve">VERSION: </t>
  </si>
  <si>
    <t xml:space="preserve">Ratios:  The Horngren eText has been used for ratio calculations.  Other sources might modify the ratio factors.  </t>
  </si>
  <si>
    <t>statement to comply with Sarbanes-Oxley requirements.</t>
  </si>
  <si>
    <t>Standard Output</t>
  </si>
  <si>
    <t>EBIT figures from Canadian Budgeted Earnings</t>
  </si>
  <si>
    <t>Low</t>
  </si>
  <si>
    <t>Moderate</t>
  </si>
  <si>
    <t>April 12, 2011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</si>
</sst>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0.0000"/>
    <numFmt numFmtId="171" formatCode="0.00000000000000%"/>
    <numFmt numFmtId="172" formatCode="0.000%"/>
    <numFmt numFmtId="173" formatCode="0.0%"/>
    <numFmt numFmtId="174" formatCode="0.0"/>
    <numFmt numFmtId="175" formatCode="#,##0.0"/>
    <numFmt numFmtId="176" formatCode="[$-409]dddd\,\ mmmm\ dd\,\ yyyy"/>
    <numFmt numFmtId="177" formatCode="0.00_);\(0.00\)"/>
    <numFmt numFmtId="178" formatCode="0.00_);[Red]\(0.00\)"/>
    <numFmt numFmtId="179" formatCode="0_);[Red]\(0\)"/>
    <numFmt numFmtId="180" formatCode="#,##0.000"/>
    <numFmt numFmtId="181" formatCode="0.000"/>
    <numFmt numFmtId="182" formatCode="#,##0.0000000"/>
    <numFmt numFmtId="183" formatCode="_(* #,##0.000_);_(* \(#,##0.000\);_(* &quot;-&quot;??_);_(@_)"/>
    <numFmt numFmtId="184" formatCode="_(* #,##0.0_);_(* \(#,##0.0\);_(* &quot;-&quot;??_);_(@_)"/>
    <numFmt numFmtId="185" formatCode="_(* #,##0_);_(* \(#,##0\);_(* &quot;-&quot;??_);_(@_)"/>
    <numFmt numFmtId="186" formatCode="[$-F800]dddd\,\ mmmm\ dd\,\ yyyy"/>
  </numFmts>
  <fonts count="79">
    <font>
      <sz val="10"/>
      <name val="Arial"/>
      <family val="0"/>
    </font>
    <font>
      <u val="single"/>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b/>
      <sz val="8"/>
      <name val="Arial"/>
      <family val="2"/>
    </font>
    <font>
      <sz val="12"/>
      <name val="Arial"/>
      <family val="2"/>
    </font>
    <font>
      <sz val="8"/>
      <name val="Tahoma"/>
      <family val="2"/>
    </font>
    <font>
      <sz val="11"/>
      <name val="Calibri"/>
      <family val="2"/>
    </font>
    <font>
      <i/>
      <sz val="11"/>
      <name val="Calibri"/>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0"/>
      <name val="Calibri"/>
      <family val="2"/>
    </font>
    <font>
      <b/>
      <sz val="10"/>
      <name val="Calibri"/>
      <family val="2"/>
    </font>
    <font>
      <sz val="8"/>
      <name val="Calibri"/>
      <family val="2"/>
    </font>
    <font>
      <b/>
      <sz val="12"/>
      <name val="Calibri"/>
      <family val="2"/>
    </font>
    <font>
      <b/>
      <u val="single"/>
      <sz val="10"/>
      <name val="Calibri"/>
      <family val="2"/>
    </font>
    <font>
      <sz val="10"/>
      <color indexed="27"/>
      <name val="Arial"/>
      <family val="2"/>
    </font>
    <font>
      <b/>
      <sz val="10"/>
      <color indexed="27"/>
      <name val="Arial"/>
      <family val="2"/>
    </font>
    <font>
      <b/>
      <sz val="8"/>
      <color indexed="27"/>
      <name val="Arial"/>
      <family val="2"/>
    </font>
    <font>
      <u val="single"/>
      <sz val="10"/>
      <name val="Calibri"/>
      <family val="2"/>
    </font>
    <font>
      <sz val="10"/>
      <color indexed="10"/>
      <name val="Calibri"/>
      <family val="2"/>
    </font>
    <font>
      <sz val="10"/>
      <color indexed="8"/>
      <name val="Calibri"/>
      <family val="2"/>
    </font>
    <font>
      <b/>
      <sz val="10"/>
      <color indexed="8"/>
      <name val="Calibri"/>
      <family val="2"/>
    </font>
    <font>
      <u val="single"/>
      <sz val="10"/>
      <color indexed="8"/>
      <name val="Calibri"/>
      <family val="2"/>
    </font>
    <font>
      <sz val="10"/>
      <color indexed="27"/>
      <name val="Calibri"/>
      <family val="2"/>
    </font>
    <font>
      <u val="double"/>
      <sz val="10"/>
      <color indexed="8"/>
      <name val="Calibri"/>
      <family val="2"/>
    </font>
    <font>
      <sz val="10"/>
      <color indexed="44"/>
      <name val="Calibri"/>
      <family val="2"/>
    </font>
    <font>
      <b/>
      <i/>
      <sz val="10"/>
      <color indexed="8"/>
      <name val="Calibri"/>
      <family val="2"/>
    </font>
    <font>
      <b/>
      <sz val="10"/>
      <color indexed="10"/>
      <name val="Arial"/>
      <family val="2"/>
    </font>
    <font>
      <u val="single"/>
      <sz val="10"/>
      <color indexed="27"/>
      <name val="Calibri"/>
      <family val="2"/>
    </font>
    <font>
      <b/>
      <sz val="10"/>
      <color indexed="2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8" tint="0.7999799847602844"/>
      <name val="Arial"/>
      <family val="2"/>
    </font>
    <font>
      <b/>
      <sz val="10"/>
      <color theme="8" tint="0.7999799847602844"/>
      <name val="Arial"/>
      <family val="2"/>
    </font>
    <font>
      <b/>
      <sz val="8"/>
      <color theme="8" tint="0.7999799847602844"/>
      <name val="Arial"/>
      <family val="2"/>
    </font>
    <font>
      <sz val="10"/>
      <color rgb="FFFF0000"/>
      <name val="Calibri"/>
      <family val="2"/>
    </font>
    <font>
      <sz val="10"/>
      <color theme="8" tint="0.7999799847602844"/>
      <name val="Calibri"/>
      <family val="2"/>
    </font>
    <font>
      <sz val="10"/>
      <color theme="8" tint="0.5999900102615356"/>
      <name val="Calibri"/>
      <family val="2"/>
    </font>
    <font>
      <b/>
      <sz val="10"/>
      <color rgb="FFFF0000"/>
      <name val="Arial"/>
      <family val="2"/>
    </font>
    <font>
      <u val="single"/>
      <sz val="10"/>
      <color theme="8" tint="0.7999799847602844"/>
      <name val="Calibri"/>
      <family val="2"/>
    </font>
    <font>
      <b/>
      <sz val="10"/>
      <color theme="8" tint="0.799979984760284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thin">
        <color theme="8" tint="0.5999900102615356"/>
      </bottom>
    </border>
    <border>
      <left>
        <color indexed="63"/>
      </left>
      <right>
        <color indexed="63"/>
      </right>
      <top style="thin">
        <color theme="8" tint="0.5999900102615356"/>
      </top>
      <bottom style="thin">
        <color theme="8" tint="0.5999900102615356"/>
      </bottom>
    </border>
    <border>
      <left>
        <color indexed="63"/>
      </left>
      <right>
        <color indexed="63"/>
      </right>
      <top style="thin"/>
      <bottom style="double"/>
    </border>
    <border>
      <left>
        <color indexed="63"/>
      </left>
      <right>
        <color indexed="63"/>
      </right>
      <top style="thin">
        <color theme="8" tint="0.5999900102615356"/>
      </top>
      <bottom style="double">
        <color theme="8" tint="0.5999900102615356"/>
      </bottom>
    </border>
    <border>
      <left>
        <color indexed="63"/>
      </left>
      <right>
        <color indexed="63"/>
      </right>
      <top style="thin">
        <color theme="8" tint="0.5999900102615356"/>
      </top>
      <bottom>
        <color indexed="63"/>
      </bottom>
    </border>
    <border>
      <left>
        <color indexed="63"/>
      </left>
      <right>
        <color indexed="63"/>
      </right>
      <top style="thin">
        <color theme="8" tint="0.7999799847602844"/>
      </top>
      <bottom style="thin">
        <color theme="8" tint="0.7999799847602844"/>
      </bottom>
    </border>
    <border>
      <left>
        <color indexed="63"/>
      </left>
      <right>
        <color indexed="63"/>
      </right>
      <top>
        <color indexed="63"/>
      </top>
      <bottom style="double"/>
    </border>
    <border>
      <left>
        <color indexed="63"/>
      </left>
      <right>
        <color indexed="63"/>
      </right>
      <top>
        <color indexed="63"/>
      </top>
      <bottom style="double">
        <color theme="8" tint="0.5999900102615356"/>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slantDashDot"/>
      <top style="thin"/>
      <bottom style="thin"/>
    </border>
    <border>
      <left style="thin"/>
      <right style="slantDashDot"/>
      <top style="thin"/>
      <bottom>
        <color indexed="63"/>
      </bottom>
    </border>
    <border>
      <left>
        <color indexed="63"/>
      </left>
      <right style="slantDashDo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slantDashDot"/>
      <top>
        <color indexed="63"/>
      </top>
      <bottom>
        <color indexed="63"/>
      </bottom>
    </border>
    <border>
      <left style="thin"/>
      <right style="thin"/>
      <top style="thin"/>
      <bottom style="double"/>
    </border>
    <border>
      <left style="thin"/>
      <right style="slantDashDot"/>
      <top style="thin"/>
      <bottom style="double"/>
    </border>
    <border>
      <left>
        <color indexed="63"/>
      </left>
      <right style="thin"/>
      <top style="thin"/>
      <bottom style="double"/>
    </border>
    <border>
      <left>
        <color indexed="63"/>
      </left>
      <right>
        <color indexed="63"/>
      </right>
      <top>
        <color indexed="63"/>
      </top>
      <bottom style="thin">
        <color theme="8" tint="0.7999799847602844"/>
      </bottom>
    </border>
    <border>
      <left style="thin">
        <color theme="8" tint="0.7999799847602844"/>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theme="8" tint="0.7999799847602844"/>
      </top>
      <bottom>
        <color indexed="63"/>
      </bottom>
    </border>
    <border>
      <left style="thin"/>
      <right style="thin"/>
      <top>
        <color indexed="63"/>
      </top>
      <bottom style="thin"/>
    </border>
    <border>
      <left>
        <color indexed="63"/>
      </left>
      <right style="slantDashDo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35">
    <xf numFmtId="0" fontId="0" fillId="0" borderId="0" xfId="0" applyAlignment="1">
      <alignment/>
    </xf>
    <xf numFmtId="0" fontId="0" fillId="0" borderId="0" xfId="0" applyAlignment="1">
      <alignment horizontal="right"/>
    </xf>
    <xf numFmtId="0" fontId="0" fillId="0" borderId="0" xfId="0" applyFill="1" applyAlignment="1">
      <alignment/>
    </xf>
    <xf numFmtId="0" fontId="10" fillId="0" borderId="0" xfId="0" applyFont="1" applyAlignment="1">
      <alignment/>
    </xf>
    <xf numFmtId="0" fontId="0" fillId="6" borderId="0" xfId="0" applyFill="1" applyAlignment="1">
      <alignment/>
    </xf>
    <xf numFmtId="0" fontId="2" fillId="6" borderId="0" xfId="0" applyFont="1" applyFill="1" applyAlignment="1">
      <alignment/>
    </xf>
    <xf numFmtId="0" fontId="6" fillId="6" borderId="0" xfId="0" applyFont="1" applyFill="1" applyAlignment="1">
      <alignment/>
    </xf>
    <xf numFmtId="0" fontId="0" fillId="6" borderId="0" xfId="0" applyFont="1" applyFill="1" applyAlignment="1">
      <alignment/>
    </xf>
    <xf numFmtId="0" fontId="0" fillId="6" borderId="0" xfId="0" applyFill="1" applyBorder="1" applyAlignment="1">
      <alignment/>
    </xf>
    <xf numFmtId="0" fontId="0" fillId="6" borderId="0" xfId="0" applyFill="1" applyBorder="1" applyAlignment="1">
      <alignment horizontal="center"/>
    </xf>
    <xf numFmtId="0" fontId="0" fillId="6" borderId="0" xfId="0" applyFont="1" applyFill="1" applyBorder="1" applyAlignment="1">
      <alignment/>
    </xf>
    <xf numFmtId="0" fontId="0" fillId="12" borderId="0" xfId="0" applyFont="1" applyFill="1" applyAlignment="1">
      <alignment/>
    </xf>
    <xf numFmtId="0" fontId="0" fillId="12" borderId="0" xfId="0" applyFill="1" applyAlignment="1">
      <alignment/>
    </xf>
    <xf numFmtId="0" fontId="8" fillId="6" borderId="0" xfId="0" applyFont="1" applyFill="1" applyAlignment="1">
      <alignment/>
    </xf>
    <xf numFmtId="0" fontId="2" fillId="6" borderId="0" xfId="0" applyFont="1" applyFill="1" applyAlignment="1">
      <alignment horizontal="center"/>
    </xf>
    <xf numFmtId="0" fontId="0" fillId="6" borderId="0" xfId="0" applyFont="1" applyFill="1" applyAlignment="1">
      <alignment horizontal="center"/>
    </xf>
    <xf numFmtId="0" fontId="2" fillId="6" borderId="0" xfId="0" applyFont="1" applyFill="1" applyAlignment="1">
      <alignment/>
    </xf>
    <xf numFmtId="0" fontId="0" fillId="6" borderId="0" xfId="0" applyFill="1" applyAlignment="1">
      <alignment/>
    </xf>
    <xf numFmtId="1" fontId="0" fillId="6" borderId="0" xfId="0" applyNumberFormat="1" applyFill="1" applyAlignment="1">
      <alignment/>
    </xf>
    <xf numFmtId="0" fontId="2" fillId="6" borderId="0" xfId="0" applyFont="1" applyFill="1" applyBorder="1" applyAlignment="1">
      <alignment/>
    </xf>
    <xf numFmtId="0" fontId="2" fillId="12" borderId="0" xfId="0" applyFont="1" applyFill="1" applyBorder="1" applyAlignment="1">
      <alignment/>
    </xf>
    <xf numFmtId="0" fontId="2" fillId="12" borderId="0" xfId="0" applyFont="1" applyFill="1" applyAlignment="1">
      <alignment/>
    </xf>
    <xf numFmtId="0" fontId="2" fillId="6" borderId="0" xfId="0" applyFont="1" applyFill="1" applyBorder="1" applyAlignment="1">
      <alignment horizontal="center"/>
    </xf>
    <xf numFmtId="3" fontId="0" fillId="6" borderId="0" xfId="0" applyNumberFormat="1" applyFill="1" applyAlignment="1">
      <alignment horizontal="right"/>
    </xf>
    <xf numFmtId="3" fontId="1" fillId="6" borderId="0" xfId="0" applyNumberFormat="1" applyFont="1" applyFill="1" applyAlignment="1">
      <alignment horizontal="right"/>
    </xf>
    <xf numFmtId="3" fontId="0" fillId="6" borderId="0" xfId="0" applyNumberFormat="1" applyFont="1" applyFill="1" applyAlignment="1">
      <alignment horizontal="right"/>
    </xf>
    <xf numFmtId="0" fontId="0" fillId="6" borderId="0" xfId="0" applyFill="1" applyAlignment="1">
      <alignment horizontal="right"/>
    </xf>
    <xf numFmtId="3" fontId="0" fillId="6" borderId="0" xfId="0" applyNumberFormat="1" applyFill="1" applyAlignment="1">
      <alignment/>
    </xf>
    <xf numFmtId="0" fontId="1" fillId="6" borderId="0" xfId="0" applyFont="1" applyFill="1" applyAlignment="1">
      <alignment horizontal="right"/>
    </xf>
    <xf numFmtId="3" fontId="0" fillId="6" borderId="0" xfId="0" applyNumberFormat="1" applyFont="1" applyFill="1" applyBorder="1" applyAlignment="1">
      <alignment horizontal="right"/>
    </xf>
    <xf numFmtId="0" fontId="0" fillId="6" borderId="0" xfId="0" applyFont="1" applyFill="1" applyBorder="1" applyAlignment="1">
      <alignment horizontal="center"/>
    </xf>
    <xf numFmtId="3" fontId="1" fillId="6" borderId="0" xfId="0" applyNumberFormat="1" applyFont="1" applyFill="1" applyAlignment="1">
      <alignment/>
    </xf>
    <xf numFmtId="0" fontId="1" fillId="6" borderId="0" xfId="0" applyFont="1" applyFill="1" applyAlignment="1">
      <alignment/>
    </xf>
    <xf numFmtId="3" fontId="0" fillId="6" borderId="0" xfId="0" applyNumberFormat="1" applyFont="1" applyFill="1" applyBorder="1" applyAlignment="1">
      <alignment/>
    </xf>
    <xf numFmtId="3" fontId="1" fillId="6" borderId="0" xfId="0" applyNumberFormat="1" applyFont="1" applyFill="1" applyBorder="1" applyAlignment="1">
      <alignment/>
    </xf>
    <xf numFmtId="3" fontId="0" fillId="6" borderId="0" xfId="0" applyNumberFormat="1" applyFont="1" applyFill="1" applyAlignment="1">
      <alignment/>
    </xf>
    <xf numFmtId="172" fontId="0" fillId="6" borderId="0" xfId="0" applyNumberFormat="1" applyFont="1" applyFill="1" applyAlignment="1">
      <alignment/>
    </xf>
    <xf numFmtId="172" fontId="0" fillId="6" borderId="0" xfId="0" applyNumberFormat="1" applyFont="1" applyFill="1" applyBorder="1" applyAlignment="1">
      <alignment/>
    </xf>
    <xf numFmtId="0" fontId="0" fillId="6" borderId="0" xfId="0" applyFill="1" applyBorder="1" applyAlignment="1">
      <alignment/>
    </xf>
    <xf numFmtId="15" fontId="2" fillId="6" borderId="0" xfId="0" applyNumberFormat="1" applyFont="1" applyFill="1" applyBorder="1" applyAlignment="1">
      <alignment horizontal="center"/>
    </xf>
    <xf numFmtId="3" fontId="0" fillId="6" borderId="0" xfId="0" applyNumberFormat="1" applyFill="1" applyBorder="1" applyAlignment="1">
      <alignment horizontal="right"/>
    </xf>
    <xf numFmtId="0" fontId="0" fillId="6" borderId="0" xfId="0" applyFill="1" applyBorder="1" applyAlignment="1">
      <alignment horizontal="right"/>
    </xf>
    <xf numFmtId="0" fontId="0" fillId="12" borderId="0" xfId="0" applyFill="1" applyBorder="1" applyAlignment="1">
      <alignment/>
    </xf>
    <xf numFmtId="0" fontId="0" fillId="12" borderId="0" xfId="0" applyFill="1" applyBorder="1" applyAlignment="1">
      <alignment horizontal="center"/>
    </xf>
    <xf numFmtId="0" fontId="2" fillId="12" borderId="0" xfId="0" applyFont="1" applyFill="1" applyBorder="1" applyAlignment="1">
      <alignment horizontal="center"/>
    </xf>
    <xf numFmtId="0" fontId="0" fillId="6" borderId="0" xfId="0" applyFont="1" applyFill="1" applyBorder="1" applyAlignment="1">
      <alignment horizontal="left"/>
    </xf>
    <xf numFmtId="10" fontId="0" fillId="6" borderId="0" xfId="0" applyNumberFormat="1" applyFill="1" applyAlignment="1">
      <alignment/>
    </xf>
    <xf numFmtId="0" fontId="2" fillId="12" borderId="0" xfId="0" applyFont="1" applyFill="1" applyAlignment="1">
      <alignment/>
    </xf>
    <xf numFmtId="3" fontId="0" fillId="12" borderId="0" xfId="0" applyNumberFormat="1" applyFill="1" applyAlignment="1">
      <alignment/>
    </xf>
    <xf numFmtId="3" fontId="0" fillId="12" borderId="0" xfId="0" applyNumberFormat="1" applyFill="1" applyAlignment="1">
      <alignment horizontal="right"/>
    </xf>
    <xf numFmtId="0" fontId="0" fillId="12" borderId="0" xfId="0" applyFont="1" applyFill="1" applyBorder="1" applyAlignment="1">
      <alignment horizontal="center"/>
    </xf>
    <xf numFmtId="0" fontId="0" fillId="12" borderId="0" xfId="0" applyFill="1" applyAlignment="1">
      <alignment horizontal="right"/>
    </xf>
    <xf numFmtId="0" fontId="0" fillId="12" borderId="0" xfId="0" applyFont="1" applyFill="1" applyBorder="1" applyAlignment="1">
      <alignment/>
    </xf>
    <xf numFmtId="0" fontId="10" fillId="6" borderId="0" xfId="0" applyFont="1" applyFill="1" applyAlignment="1">
      <alignment horizontal="right"/>
    </xf>
    <xf numFmtId="0" fontId="2" fillId="6" borderId="0" xfId="0" applyFont="1" applyFill="1" applyAlignment="1">
      <alignment horizontal="right"/>
    </xf>
    <xf numFmtId="0" fontId="10" fillId="6" borderId="0" xfId="0" applyFont="1" applyFill="1" applyAlignment="1">
      <alignment/>
    </xf>
    <xf numFmtId="0" fontId="32" fillId="6" borderId="0" xfId="0" applyFont="1" applyFill="1" applyAlignment="1">
      <alignment/>
    </xf>
    <xf numFmtId="0" fontId="32" fillId="6" borderId="0" xfId="0" applyFont="1" applyFill="1" applyAlignment="1">
      <alignment horizontal="center"/>
    </xf>
    <xf numFmtId="10" fontId="10" fillId="6" borderId="0" xfId="0" applyNumberFormat="1" applyFont="1" applyFill="1" applyAlignment="1">
      <alignment/>
    </xf>
    <xf numFmtId="3" fontId="10" fillId="6" borderId="0" xfId="0" applyNumberFormat="1" applyFont="1" applyFill="1" applyAlignment="1">
      <alignment/>
    </xf>
    <xf numFmtId="3" fontId="1" fillId="12" borderId="0" xfId="0" applyNumberFormat="1" applyFont="1" applyFill="1" applyAlignment="1">
      <alignment horizontal="right"/>
    </xf>
    <xf numFmtId="0" fontId="1" fillId="12" borderId="0" xfId="0" applyFont="1" applyFill="1" applyAlignment="1">
      <alignment horizontal="right"/>
    </xf>
    <xf numFmtId="3" fontId="1" fillId="12" borderId="0" xfId="0" applyNumberFormat="1" applyFont="1" applyFill="1" applyAlignment="1">
      <alignment/>
    </xf>
    <xf numFmtId="0" fontId="1" fillId="12" borderId="0" xfId="0" applyFont="1" applyFill="1" applyAlignment="1">
      <alignment/>
    </xf>
    <xf numFmtId="3" fontId="0" fillId="12" borderId="0" xfId="0" applyNumberFormat="1" applyFont="1" applyFill="1" applyAlignment="1">
      <alignment/>
    </xf>
    <xf numFmtId="3" fontId="1" fillId="6" borderId="0" xfId="0" applyNumberFormat="1" applyFont="1" applyFill="1" applyAlignment="1">
      <alignment/>
    </xf>
    <xf numFmtId="3" fontId="1" fillId="6" borderId="0" xfId="0" applyNumberFormat="1" applyFont="1" applyFill="1" applyBorder="1" applyAlignment="1">
      <alignment/>
    </xf>
    <xf numFmtId="3" fontId="0" fillId="6" borderId="10" xfId="0" applyNumberFormat="1" applyFont="1" applyFill="1" applyBorder="1" applyAlignment="1">
      <alignment/>
    </xf>
    <xf numFmtId="10" fontId="0" fillId="6" borderId="0" xfId="0" applyNumberFormat="1" applyFont="1" applyFill="1" applyAlignment="1">
      <alignment/>
    </xf>
    <xf numFmtId="170" fontId="0" fillId="6" borderId="0" xfId="0" applyNumberFormat="1" applyFill="1" applyAlignment="1">
      <alignment/>
    </xf>
    <xf numFmtId="0" fontId="0" fillId="2" borderId="0" xfId="0" applyFill="1" applyAlignment="1">
      <alignment/>
    </xf>
    <xf numFmtId="0" fontId="33" fillId="2" borderId="11" xfId="0" applyFont="1" applyFill="1" applyBorder="1" applyAlignment="1">
      <alignment/>
    </xf>
    <xf numFmtId="0" fontId="33" fillId="2" borderId="11" xfId="0" applyFont="1" applyFill="1" applyBorder="1" applyAlignment="1">
      <alignment horizontal="center" vertical="top" wrapText="1"/>
    </xf>
    <xf numFmtId="0" fontId="33" fillId="2" borderId="11" xfId="0" applyFont="1" applyFill="1" applyBorder="1" applyAlignment="1">
      <alignment vertical="top" wrapText="1"/>
    </xf>
    <xf numFmtId="0" fontId="0" fillId="6" borderId="0" xfId="0" applyFill="1" applyAlignment="1">
      <alignment/>
    </xf>
    <xf numFmtId="0" fontId="34" fillId="2" borderId="11" xfId="0" applyFont="1" applyFill="1" applyBorder="1" applyAlignment="1">
      <alignment horizontal="center"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0" fillId="2" borderId="12" xfId="0" applyFill="1" applyBorder="1" applyAlignment="1">
      <alignment/>
    </xf>
    <xf numFmtId="0" fontId="33" fillId="6" borderId="11" xfId="0" applyFont="1" applyFill="1" applyBorder="1" applyAlignment="1">
      <alignment/>
    </xf>
    <xf numFmtId="0" fontId="34" fillId="12" borderId="11" xfId="0" applyFont="1" applyFill="1" applyBorder="1" applyAlignment="1">
      <alignment horizontal="center" vertical="top" wrapText="1"/>
    </xf>
    <xf numFmtId="0" fontId="33" fillId="12" borderId="11" xfId="0" applyFont="1" applyFill="1" applyBorder="1" applyAlignment="1">
      <alignment vertical="top" wrapText="1"/>
    </xf>
    <xf numFmtId="0" fontId="33" fillId="12" borderId="11" xfId="0" applyFont="1" applyFill="1" applyBorder="1" applyAlignment="1">
      <alignment/>
    </xf>
    <xf numFmtId="0" fontId="33" fillId="12" borderId="11" xfId="0" applyFont="1" applyFill="1" applyBorder="1" applyAlignment="1">
      <alignment horizontal="center" vertical="top" wrapText="1"/>
    </xf>
    <xf numFmtId="0" fontId="0" fillId="2" borderId="0" xfId="0" applyFont="1" applyFill="1" applyAlignment="1">
      <alignment/>
    </xf>
    <xf numFmtId="0" fontId="33" fillId="2" borderId="0" xfId="0" applyFont="1" applyFill="1" applyAlignment="1">
      <alignment/>
    </xf>
    <xf numFmtId="0" fontId="34" fillId="2" borderId="0" xfId="0" applyFont="1" applyFill="1" applyAlignment="1">
      <alignment/>
    </xf>
    <xf numFmtId="0" fontId="33" fillId="2" borderId="0" xfId="0" applyFont="1" applyFill="1" applyAlignment="1">
      <alignment horizontal="left"/>
    </xf>
    <xf numFmtId="0" fontId="33" fillId="2" borderId="0" xfId="0" applyFont="1" applyFill="1" applyBorder="1" applyAlignment="1">
      <alignment horizontal="left" vertical="top" wrapText="1"/>
    </xf>
    <xf numFmtId="0" fontId="33" fillId="2" borderId="0" xfId="0" applyFont="1" applyFill="1" applyBorder="1" applyAlignment="1">
      <alignment horizontal="left" vertical="top"/>
    </xf>
    <xf numFmtId="0" fontId="34" fillId="2" borderId="0" xfId="0" applyFont="1" applyFill="1" applyAlignment="1">
      <alignment horizontal="left"/>
    </xf>
    <xf numFmtId="0" fontId="33" fillId="2" borderId="0" xfId="0" applyFont="1" applyFill="1" applyBorder="1" applyAlignment="1">
      <alignment/>
    </xf>
    <xf numFmtId="0" fontId="34" fillId="6" borderId="0" xfId="0" applyFont="1" applyFill="1" applyAlignment="1">
      <alignment horizontal="center"/>
    </xf>
    <xf numFmtId="0" fontId="34" fillId="6" borderId="0" xfId="0" applyFont="1" applyFill="1" applyAlignment="1">
      <alignment/>
    </xf>
    <xf numFmtId="0" fontId="33" fillId="6" borderId="0" xfId="0" applyFont="1" applyFill="1" applyAlignment="1">
      <alignment/>
    </xf>
    <xf numFmtId="0" fontId="33" fillId="6" borderId="0" xfId="0" applyFont="1" applyFill="1" applyBorder="1" applyAlignment="1">
      <alignment/>
    </xf>
    <xf numFmtId="0" fontId="35" fillId="6" borderId="0" xfId="0" applyFont="1" applyFill="1" applyAlignment="1">
      <alignment/>
    </xf>
    <xf numFmtId="0" fontId="33" fillId="33" borderId="0" xfId="0" applyFont="1" applyFill="1" applyAlignment="1">
      <alignment/>
    </xf>
    <xf numFmtId="0" fontId="33" fillId="6" borderId="0" xfId="0" applyFont="1" applyFill="1" applyAlignment="1">
      <alignment vertical="top"/>
    </xf>
    <xf numFmtId="0" fontId="36"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4" fillId="6" borderId="0" xfId="0" applyFont="1" applyFill="1" applyAlignment="1">
      <alignment vertical="top"/>
    </xf>
    <xf numFmtId="0" fontId="37" fillId="6" borderId="0" xfId="0" applyFont="1" applyFill="1" applyAlignment="1">
      <alignment horizontal="center"/>
    </xf>
    <xf numFmtId="0" fontId="34" fillId="6" borderId="13" xfId="0" applyFont="1" applyFill="1" applyBorder="1" applyAlignment="1">
      <alignment horizontal="center"/>
    </xf>
    <xf numFmtId="0" fontId="34" fillId="6" borderId="0" xfId="0" applyFont="1" applyFill="1" applyAlignment="1">
      <alignment horizontal="right"/>
    </xf>
    <xf numFmtId="0" fontId="33" fillId="6" borderId="0" xfId="0" applyFont="1" applyFill="1" applyAlignment="1">
      <alignment horizontal="right"/>
    </xf>
    <xf numFmtId="49" fontId="34" fillId="6" borderId="0" xfId="0" applyNumberFormat="1" applyFont="1" applyFill="1" applyAlignment="1">
      <alignment horizontal="right"/>
    </xf>
    <xf numFmtId="0" fontId="34" fillId="6" borderId="0" xfId="0" applyFont="1" applyFill="1" applyAlignment="1">
      <alignment horizontal="right" vertical="top"/>
    </xf>
    <xf numFmtId="0" fontId="33" fillId="6" borderId="0" xfId="0" applyFont="1" applyFill="1" applyAlignment="1">
      <alignment horizontal="center"/>
    </xf>
    <xf numFmtId="0" fontId="33" fillId="6" borderId="14" xfId="0" applyFont="1" applyFill="1" applyBorder="1" applyAlignment="1">
      <alignment horizontal="center"/>
    </xf>
    <xf numFmtId="3" fontId="33" fillId="6" borderId="0" xfId="0" applyNumberFormat="1" applyFont="1" applyFill="1" applyAlignment="1">
      <alignment/>
    </xf>
    <xf numFmtId="0" fontId="70" fillId="6" borderId="0" xfId="0" applyFont="1" applyFill="1" applyAlignment="1">
      <alignment/>
    </xf>
    <xf numFmtId="0" fontId="71" fillId="6" borderId="0" xfId="0" applyFont="1" applyFill="1" applyAlignment="1">
      <alignment/>
    </xf>
    <xf numFmtId="0" fontId="7" fillId="6" borderId="0" xfId="0" applyFont="1" applyFill="1" applyAlignment="1">
      <alignment horizontal="center"/>
    </xf>
    <xf numFmtId="0" fontId="72" fillId="6" borderId="0" xfId="0" applyFont="1" applyFill="1" applyAlignment="1">
      <alignment horizontal="center"/>
    </xf>
    <xf numFmtId="0" fontId="2" fillId="6" borderId="0" xfId="0" applyFont="1" applyFill="1" applyBorder="1" applyAlignment="1">
      <alignment horizontal="center"/>
    </xf>
    <xf numFmtId="0" fontId="0" fillId="12" borderId="0" xfId="0" applyFont="1" applyFill="1" applyAlignment="1">
      <alignment/>
    </xf>
    <xf numFmtId="0" fontId="1" fillId="12" borderId="0" xfId="0" applyFont="1" applyFill="1" applyAlignment="1">
      <alignment horizontal="center"/>
    </xf>
    <xf numFmtId="0" fontId="2" fillId="12" borderId="0" xfId="0" applyFont="1" applyFill="1" applyAlignment="1">
      <alignment horizontal="center"/>
    </xf>
    <xf numFmtId="3" fontId="33" fillId="2" borderId="15" xfId="0" applyNumberFormat="1" applyFont="1" applyFill="1" applyBorder="1" applyAlignment="1">
      <alignment/>
    </xf>
    <xf numFmtId="3" fontId="33" fillId="2" borderId="11" xfId="0" applyNumberFormat="1" applyFont="1" applyFill="1" applyBorder="1" applyAlignment="1">
      <alignment/>
    </xf>
    <xf numFmtId="0" fontId="34" fillId="12" borderId="0" xfId="0" applyFont="1" applyFill="1" applyBorder="1" applyAlignment="1">
      <alignment horizontal="center" vertical="top" wrapText="1"/>
    </xf>
    <xf numFmtId="0" fontId="33" fillId="12" borderId="0" xfId="0" applyFont="1" applyFill="1" applyBorder="1" applyAlignment="1">
      <alignment vertical="top" wrapText="1"/>
    </xf>
    <xf numFmtId="0" fontId="33" fillId="12" borderId="0" xfId="0" applyFont="1" applyFill="1" applyBorder="1" applyAlignment="1">
      <alignment horizontal="center" vertical="top" wrapText="1"/>
    </xf>
    <xf numFmtId="0" fontId="33" fillId="12" borderId="0" xfId="0" applyFont="1" applyFill="1" applyBorder="1" applyAlignment="1">
      <alignment/>
    </xf>
    <xf numFmtId="3" fontId="33" fillId="2" borderId="11" xfId="0" applyNumberFormat="1" applyFont="1" applyFill="1" applyBorder="1" applyAlignment="1">
      <alignment vertical="top" wrapText="1"/>
    </xf>
    <xf numFmtId="3" fontId="33" fillId="12" borderId="11" xfId="0" applyNumberFormat="1" applyFont="1" applyFill="1" applyBorder="1" applyAlignment="1">
      <alignment vertical="top" wrapText="1"/>
    </xf>
    <xf numFmtId="3" fontId="33" fillId="12" borderId="0" xfId="0" applyNumberFormat="1" applyFont="1" applyFill="1" applyBorder="1" applyAlignment="1">
      <alignment vertical="top" wrapText="1"/>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xf>
    <xf numFmtId="0" fontId="0" fillId="0" borderId="0" xfId="0" applyFont="1" applyFill="1" applyAlignment="1">
      <alignment/>
    </xf>
    <xf numFmtId="0" fontId="0" fillId="6" borderId="0" xfId="0" applyFill="1" applyAlignment="1">
      <alignment/>
    </xf>
    <xf numFmtId="0" fontId="0" fillId="6" borderId="0" xfId="0" applyFill="1" applyAlignment="1">
      <alignment horizontal="center"/>
    </xf>
    <xf numFmtId="0" fontId="34" fillId="6" borderId="14" xfId="0" applyFont="1" applyFill="1" applyBorder="1" applyAlignment="1">
      <alignment horizontal="center"/>
    </xf>
    <xf numFmtId="0" fontId="0" fillId="6" borderId="0" xfId="0" applyFill="1" applyAlignment="1">
      <alignment horizontal="center"/>
    </xf>
    <xf numFmtId="0" fontId="34" fillId="6" borderId="14" xfId="0" applyFont="1" applyFill="1" applyBorder="1" applyAlignment="1">
      <alignment horizontal="center"/>
    </xf>
    <xf numFmtId="0" fontId="34" fillId="6" borderId="0" xfId="0" applyFont="1" applyFill="1" applyAlignment="1">
      <alignment horizontal="center"/>
    </xf>
    <xf numFmtId="0" fontId="33" fillId="33" borderId="16" xfId="0" applyFont="1" applyFill="1" applyBorder="1" applyAlignment="1">
      <alignment/>
    </xf>
    <xf numFmtId="0" fontId="33" fillId="33" borderId="17" xfId="0" applyFont="1" applyFill="1" applyBorder="1" applyAlignment="1">
      <alignment/>
    </xf>
    <xf numFmtId="0" fontId="36" fillId="6" borderId="0" xfId="0" applyFont="1" applyFill="1" applyAlignment="1">
      <alignment horizontal="center"/>
    </xf>
    <xf numFmtId="3" fontId="33" fillId="33" borderId="0" xfId="0" applyNumberFormat="1" applyFont="1" applyFill="1" applyAlignment="1">
      <alignment/>
    </xf>
    <xf numFmtId="3" fontId="33" fillId="6" borderId="0" xfId="0" applyNumberFormat="1" applyFont="1" applyFill="1" applyBorder="1" applyAlignment="1">
      <alignment/>
    </xf>
    <xf numFmtId="3" fontId="33" fillId="33" borderId="18" xfId="0" applyNumberFormat="1" applyFont="1" applyFill="1" applyBorder="1" applyAlignment="1">
      <alignment/>
    </xf>
    <xf numFmtId="3" fontId="33" fillId="33" borderId="14" xfId="0" applyNumberFormat="1" applyFont="1" applyFill="1" applyBorder="1" applyAlignment="1">
      <alignment/>
    </xf>
    <xf numFmtId="180" fontId="33" fillId="33" borderId="18" xfId="0" applyNumberFormat="1" applyFont="1" applyFill="1" applyBorder="1" applyAlignment="1">
      <alignment/>
    </xf>
    <xf numFmtId="0" fontId="33" fillId="6" borderId="0" xfId="0" applyFont="1" applyFill="1" applyAlignment="1">
      <alignment horizontal="center"/>
    </xf>
    <xf numFmtId="0" fontId="33" fillId="0" borderId="0" xfId="0" applyFont="1" applyAlignment="1">
      <alignment/>
    </xf>
    <xf numFmtId="0" fontId="33" fillId="6" borderId="0" xfId="0" applyFont="1" applyFill="1" applyBorder="1" applyAlignment="1">
      <alignment horizontal="center"/>
    </xf>
    <xf numFmtId="0" fontId="33" fillId="6" borderId="14" xfId="0" applyFont="1" applyFill="1" applyBorder="1" applyAlignment="1">
      <alignment/>
    </xf>
    <xf numFmtId="0" fontId="34" fillId="6" borderId="0" xfId="0" applyFont="1" applyFill="1" applyBorder="1" applyAlignment="1">
      <alignment/>
    </xf>
    <xf numFmtId="0" fontId="0" fillId="6" borderId="0" xfId="0" applyFill="1" applyAlignment="1">
      <alignment vertical="center" wrapText="1"/>
    </xf>
    <xf numFmtId="0" fontId="41" fillId="6" borderId="0" xfId="0" applyFont="1" applyFill="1" applyAlignment="1">
      <alignment/>
    </xf>
    <xf numFmtId="0" fontId="33" fillId="12" borderId="0" xfId="0" applyFont="1" applyFill="1" applyAlignment="1">
      <alignment/>
    </xf>
    <xf numFmtId="0" fontId="41" fillId="12" borderId="0" xfId="0" applyFont="1" applyFill="1" applyAlignment="1">
      <alignment/>
    </xf>
    <xf numFmtId="0" fontId="34" fillId="12" borderId="0" xfId="0" applyFont="1" applyFill="1" applyAlignment="1">
      <alignment/>
    </xf>
    <xf numFmtId="15" fontId="34" fillId="6" borderId="0" xfId="0" applyNumberFormat="1" applyFont="1" applyFill="1" applyAlignment="1">
      <alignment horizontal="center"/>
    </xf>
    <xf numFmtId="0" fontId="33" fillId="12" borderId="0" xfId="0" applyFont="1" applyFill="1" applyBorder="1" applyAlignment="1">
      <alignment horizontal="center"/>
    </xf>
    <xf numFmtId="0" fontId="34" fillId="6" borderId="0" xfId="0" applyFont="1" applyFill="1" applyBorder="1" applyAlignment="1">
      <alignment horizontal="center"/>
    </xf>
    <xf numFmtId="0" fontId="34" fillId="12" borderId="0" xfId="0" applyFont="1" applyFill="1" applyBorder="1" applyAlignment="1">
      <alignment horizontal="center"/>
    </xf>
    <xf numFmtId="3" fontId="33" fillId="6" borderId="0" xfId="0" applyNumberFormat="1" applyFont="1" applyFill="1" applyAlignment="1">
      <alignment horizontal="right"/>
    </xf>
    <xf numFmtId="3" fontId="33" fillId="12" borderId="0" xfId="0" applyNumberFormat="1" applyFont="1" applyFill="1" applyAlignment="1">
      <alignment horizontal="right"/>
    </xf>
    <xf numFmtId="3" fontId="41" fillId="6" borderId="0" xfId="0" applyNumberFormat="1" applyFont="1" applyFill="1" applyAlignment="1">
      <alignment horizontal="right"/>
    </xf>
    <xf numFmtId="3" fontId="41" fillId="12" borderId="0" xfId="0" applyNumberFormat="1" applyFont="1" applyFill="1" applyAlignment="1">
      <alignment horizontal="right"/>
    </xf>
    <xf numFmtId="3" fontId="33" fillId="6" borderId="0" xfId="0" applyNumberFormat="1" applyFont="1" applyFill="1" applyBorder="1" applyAlignment="1">
      <alignment horizontal="right"/>
    </xf>
    <xf numFmtId="0" fontId="33" fillId="12" borderId="0" xfId="0" applyFont="1" applyFill="1" applyAlignment="1">
      <alignment horizontal="right"/>
    </xf>
    <xf numFmtId="3" fontId="33" fillId="6" borderId="14" xfId="0" applyNumberFormat="1" applyFont="1" applyFill="1" applyBorder="1" applyAlignment="1">
      <alignment horizontal="right"/>
    </xf>
    <xf numFmtId="0" fontId="41" fillId="6" borderId="0" xfId="0" applyFont="1" applyFill="1" applyAlignment="1">
      <alignment horizontal="right"/>
    </xf>
    <xf numFmtId="0" fontId="41" fillId="12" borderId="0" xfId="0" applyFont="1" applyFill="1" applyAlignment="1">
      <alignment horizontal="right"/>
    </xf>
    <xf numFmtId="3" fontId="33" fillId="6" borderId="18" xfId="0" applyNumberFormat="1" applyFont="1" applyFill="1" applyBorder="1" applyAlignment="1">
      <alignment horizontal="right"/>
    </xf>
    <xf numFmtId="10" fontId="33" fillId="6" borderId="0" xfId="0" applyNumberFormat="1" applyFont="1" applyFill="1" applyAlignment="1">
      <alignment/>
    </xf>
    <xf numFmtId="1" fontId="33" fillId="6" borderId="0" xfId="0" applyNumberFormat="1" applyFont="1" applyFill="1" applyAlignment="1">
      <alignment/>
    </xf>
    <xf numFmtId="0" fontId="2" fillId="2" borderId="0" xfId="0" applyFont="1" applyFill="1" applyAlignment="1">
      <alignment horizontal="center"/>
    </xf>
    <xf numFmtId="1" fontId="33" fillId="2" borderId="11" xfId="0" applyNumberFormat="1" applyFont="1" applyFill="1" applyBorder="1" applyAlignment="1">
      <alignment vertical="top" wrapText="1"/>
    </xf>
    <xf numFmtId="181" fontId="33" fillId="2" borderId="11" xfId="0" applyNumberFormat="1" applyFont="1" applyFill="1" applyBorder="1" applyAlignment="1">
      <alignment vertical="top" wrapText="1"/>
    </xf>
    <xf numFmtId="1" fontId="33" fillId="2" borderId="11" xfId="0" applyNumberFormat="1" applyFont="1" applyFill="1" applyBorder="1" applyAlignment="1">
      <alignment/>
    </xf>
    <xf numFmtId="4" fontId="33" fillId="2" borderId="11" xfId="0" applyNumberFormat="1" applyFont="1" applyFill="1" applyBorder="1" applyAlignment="1">
      <alignment vertical="top" wrapText="1"/>
    </xf>
    <xf numFmtId="2" fontId="33" fillId="2" borderId="11" xfId="0" applyNumberFormat="1" applyFont="1" applyFill="1" applyBorder="1" applyAlignment="1">
      <alignment vertical="top" wrapText="1"/>
    </xf>
    <xf numFmtId="3" fontId="33" fillId="0" borderId="0" xfId="0" applyNumberFormat="1" applyFont="1" applyFill="1" applyAlignment="1">
      <alignment horizontal="right"/>
    </xf>
    <xf numFmtId="0" fontId="33" fillId="6" borderId="0" xfId="0" applyFont="1" applyFill="1" applyBorder="1" applyAlignment="1">
      <alignment/>
    </xf>
    <xf numFmtId="0" fontId="33" fillId="6" borderId="0" xfId="0" applyFont="1" applyFill="1" applyBorder="1" applyAlignment="1">
      <alignment horizontal="center"/>
    </xf>
    <xf numFmtId="3" fontId="33" fillId="6" borderId="14" xfId="0" applyNumberFormat="1" applyFont="1" applyFill="1" applyBorder="1" applyAlignment="1">
      <alignment/>
    </xf>
    <xf numFmtId="0" fontId="41" fillId="6" borderId="0" xfId="0" applyFont="1" applyFill="1" applyAlignment="1">
      <alignment horizontal="center"/>
    </xf>
    <xf numFmtId="3" fontId="33" fillId="6" borderId="0" xfId="0" applyNumberFormat="1" applyFont="1" applyFill="1" applyAlignment="1">
      <alignment horizontal="center"/>
    </xf>
    <xf numFmtId="0" fontId="41" fillId="6" borderId="0" xfId="0" applyFont="1" applyFill="1" applyAlignment="1">
      <alignment/>
    </xf>
    <xf numFmtId="1" fontId="33" fillId="6" borderId="0" xfId="0" applyNumberFormat="1" applyFont="1" applyFill="1" applyAlignment="1">
      <alignment horizontal="center"/>
    </xf>
    <xf numFmtId="3" fontId="34" fillId="6" borderId="0" xfId="0" applyNumberFormat="1" applyFont="1" applyFill="1" applyAlignment="1">
      <alignment/>
    </xf>
    <xf numFmtId="1" fontId="33" fillId="12" borderId="0" xfId="0" applyNumberFormat="1" applyFont="1" applyFill="1" applyBorder="1" applyAlignment="1">
      <alignment vertical="top" wrapText="1"/>
    </xf>
    <xf numFmtId="0" fontId="34" fillId="6" borderId="13" xfId="0" applyFont="1" applyFill="1" applyBorder="1" applyAlignment="1">
      <alignment/>
    </xf>
    <xf numFmtId="0" fontId="34" fillId="6" borderId="0" xfId="0" applyFont="1" applyFill="1" applyBorder="1" applyAlignment="1">
      <alignment/>
    </xf>
    <xf numFmtId="3" fontId="41" fillId="6" borderId="0" xfId="0" applyNumberFormat="1" applyFont="1" applyFill="1" applyAlignment="1">
      <alignment/>
    </xf>
    <xf numFmtId="3" fontId="33" fillId="6" borderId="13" xfId="0" applyNumberFormat="1" applyFont="1" applyFill="1" applyBorder="1" applyAlignment="1">
      <alignment/>
    </xf>
    <xf numFmtId="3" fontId="41" fillId="6" borderId="0" xfId="0" applyNumberFormat="1" applyFont="1" applyFill="1" applyBorder="1" applyAlignment="1">
      <alignment/>
    </xf>
    <xf numFmtId="3" fontId="33" fillId="6" borderId="18" xfId="0" applyNumberFormat="1" applyFont="1" applyFill="1" applyBorder="1" applyAlignment="1">
      <alignment/>
    </xf>
    <xf numFmtId="3" fontId="73" fillId="6" borderId="14" xfId="0" applyNumberFormat="1" applyFont="1" applyFill="1" applyBorder="1" applyAlignment="1">
      <alignment/>
    </xf>
    <xf numFmtId="173" fontId="33" fillId="0" borderId="0" xfId="0" applyNumberFormat="1" applyFont="1" applyFill="1" applyAlignment="1">
      <alignment horizontal="right"/>
    </xf>
    <xf numFmtId="173" fontId="33" fillId="6" borderId="0" xfId="0" applyNumberFormat="1" applyFont="1" applyFill="1" applyAlignment="1">
      <alignment/>
    </xf>
    <xf numFmtId="38" fontId="33" fillId="6" borderId="0" xfId="0" applyNumberFormat="1" applyFont="1" applyFill="1" applyAlignment="1">
      <alignment/>
    </xf>
    <xf numFmtId="38" fontId="73" fillId="6" borderId="0" xfId="0" applyNumberFormat="1" applyFont="1" applyFill="1" applyAlignment="1">
      <alignment/>
    </xf>
    <xf numFmtId="38" fontId="73" fillId="6" borderId="14" xfId="0" applyNumberFormat="1" applyFont="1" applyFill="1" applyBorder="1" applyAlignment="1">
      <alignment/>
    </xf>
    <xf numFmtId="38" fontId="41" fillId="6" borderId="0" xfId="0" applyNumberFormat="1" applyFont="1" applyFill="1" applyAlignment="1">
      <alignment/>
    </xf>
    <xf numFmtId="38" fontId="33" fillId="6" borderId="14" xfId="0" applyNumberFormat="1" applyFont="1" applyFill="1" applyBorder="1" applyAlignment="1">
      <alignment/>
    </xf>
    <xf numFmtId="0" fontId="37" fillId="6" borderId="0" xfId="0" applyFont="1" applyFill="1" applyAlignment="1">
      <alignment horizontal="right"/>
    </xf>
    <xf numFmtId="0" fontId="37" fillId="6" borderId="0" xfId="0" applyFont="1" applyFill="1" applyAlignment="1">
      <alignment/>
    </xf>
    <xf numFmtId="2" fontId="33" fillId="6" borderId="0" xfId="0" applyNumberFormat="1" applyFont="1" applyFill="1" applyAlignment="1">
      <alignment horizontal="right"/>
    </xf>
    <xf numFmtId="2" fontId="33" fillId="6" borderId="0" xfId="0" applyNumberFormat="1" applyFont="1" applyFill="1" applyBorder="1" applyAlignment="1">
      <alignment horizontal="right"/>
    </xf>
    <xf numFmtId="2" fontId="42" fillId="6" borderId="0" xfId="0" applyNumberFormat="1" applyFont="1" applyFill="1" applyAlignment="1">
      <alignment horizontal="right"/>
    </xf>
    <xf numFmtId="174" fontId="33" fillId="6" borderId="0" xfId="0" applyNumberFormat="1" applyFont="1" applyFill="1" applyBorder="1" applyAlignment="1">
      <alignment horizontal="right"/>
    </xf>
    <xf numFmtId="174" fontId="42" fillId="6" borderId="0" xfId="0" applyNumberFormat="1" applyFont="1" applyFill="1" applyAlignment="1">
      <alignment horizontal="right"/>
    </xf>
    <xf numFmtId="173" fontId="33" fillId="6" borderId="0" xfId="0" applyNumberFormat="1" applyFont="1" applyFill="1" applyAlignment="1">
      <alignment horizontal="right"/>
    </xf>
    <xf numFmtId="10" fontId="33" fillId="6" borderId="0" xfId="0" applyNumberFormat="1" applyFont="1" applyFill="1" applyAlignment="1">
      <alignment horizontal="right"/>
    </xf>
    <xf numFmtId="0" fontId="73" fillId="6" borderId="0" xfId="0" applyFont="1" applyFill="1" applyBorder="1" applyAlignment="1">
      <alignment horizontal="center"/>
    </xf>
    <xf numFmtId="38" fontId="33" fillId="6" borderId="0" xfId="0" applyNumberFormat="1" applyFont="1" applyFill="1" applyAlignment="1">
      <alignment horizontal="right"/>
    </xf>
    <xf numFmtId="1" fontId="34" fillId="6" borderId="0" xfId="0" applyNumberFormat="1" applyFont="1" applyFill="1" applyAlignment="1">
      <alignment/>
    </xf>
    <xf numFmtId="1" fontId="41" fillId="6" borderId="0" xfId="0" applyNumberFormat="1" applyFont="1" applyFill="1" applyAlignment="1">
      <alignment/>
    </xf>
    <xf numFmtId="3" fontId="73" fillId="6" borderId="0" xfId="0" applyNumberFormat="1" applyFont="1" applyFill="1" applyAlignment="1">
      <alignment horizontal="right"/>
    </xf>
    <xf numFmtId="0" fontId="34" fillId="12" borderId="0" xfId="0" applyFont="1" applyFill="1" applyAlignment="1">
      <alignment/>
    </xf>
    <xf numFmtId="0" fontId="10" fillId="12" borderId="0" xfId="0" applyFont="1" applyFill="1" applyAlignment="1">
      <alignment/>
    </xf>
    <xf numFmtId="0" fontId="32" fillId="12" borderId="0" xfId="0" applyFont="1" applyFill="1" applyAlignment="1">
      <alignment horizontal="right"/>
    </xf>
    <xf numFmtId="0" fontId="10" fillId="12" borderId="0" xfId="0" applyFont="1" applyFill="1" applyAlignment="1">
      <alignment horizontal="right"/>
    </xf>
    <xf numFmtId="0" fontId="69" fillId="12" borderId="0" xfId="0" applyFont="1" applyFill="1" applyAlignment="1">
      <alignment/>
    </xf>
    <xf numFmtId="0" fontId="34" fillId="12" borderId="0" xfId="0" applyFont="1" applyFill="1" applyBorder="1" applyAlignment="1">
      <alignment/>
    </xf>
    <xf numFmtId="3" fontId="33" fillId="12" borderId="0" xfId="0" applyNumberFormat="1" applyFont="1" applyFill="1" applyAlignment="1">
      <alignment/>
    </xf>
    <xf numFmtId="3" fontId="41" fillId="12" borderId="0" xfId="0" applyNumberFormat="1" applyFont="1" applyFill="1" applyAlignment="1">
      <alignment/>
    </xf>
    <xf numFmtId="0" fontId="0" fillId="12" borderId="0" xfId="0" applyFont="1" applyFill="1" applyAlignment="1">
      <alignment horizontal="center"/>
    </xf>
    <xf numFmtId="0" fontId="0" fillId="12" borderId="0" xfId="0" applyFill="1" applyAlignment="1">
      <alignment horizontal="center"/>
    </xf>
    <xf numFmtId="38" fontId="33" fillId="6" borderId="0" xfId="0" applyNumberFormat="1" applyFont="1" applyFill="1" applyAlignment="1">
      <alignment horizontal="center"/>
    </xf>
    <xf numFmtId="1" fontId="33" fillId="6" borderId="0" xfId="0" applyNumberFormat="1" applyFont="1" applyFill="1" applyBorder="1" applyAlignment="1">
      <alignment/>
    </xf>
    <xf numFmtId="1" fontId="41" fillId="6" borderId="0" xfId="0" applyNumberFormat="1" applyFont="1" applyFill="1" applyBorder="1" applyAlignment="1">
      <alignment/>
    </xf>
    <xf numFmtId="0" fontId="41" fillId="6" borderId="0" xfId="0" applyFont="1" applyFill="1" applyBorder="1" applyAlignment="1">
      <alignment horizontal="center"/>
    </xf>
    <xf numFmtId="3" fontId="43" fillId="6" borderId="0" xfId="0" applyNumberFormat="1" applyFont="1" applyFill="1" applyBorder="1" applyAlignment="1">
      <alignment/>
    </xf>
    <xf numFmtId="1" fontId="43" fillId="6" borderId="0" xfId="0" applyNumberFormat="1" applyFont="1" applyFill="1" applyBorder="1" applyAlignment="1">
      <alignment/>
    </xf>
    <xf numFmtId="0" fontId="43" fillId="6" borderId="0" xfId="0" applyFont="1" applyFill="1" applyAlignment="1">
      <alignment/>
    </xf>
    <xf numFmtId="3" fontId="33" fillId="33" borderId="16" xfId="0" applyNumberFormat="1" applyFont="1" applyFill="1" applyBorder="1" applyAlignment="1">
      <alignment/>
    </xf>
    <xf numFmtId="0" fontId="44" fillId="6" borderId="0" xfId="0" applyFont="1" applyFill="1" applyAlignment="1">
      <alignment/>
    </xf>
    <xf numFmtId="3" fontId="33" fillId="33" borderId="0" xfId="0" applyNumberFormat="1" applyFont="1" applyFill="1" applyBorder="1" applyAlignment="1">
      <alignment/>
    </xf>
    <xf numFmtId="0" fontId="43" fillId="6" borderId="0" xfId="0" applyFont="1" applyFill="1" applyAlignment="1">
      <alignment horizontal="justify"/>
    </xf>
    <xf numFmtId="3" fontId="33" fillId="33" borderId="19" xfId="0" applyNumberFormat="1" applyFont="1" applyFill="1" applyBorder="1" applyAlignment="1">
      <alignment/>
    </xf>
    <xf numFmtId="0" fontId="44" fillId="6" borderId="0" xfId="0" applyFont="1" applyFill="1" applyAlignment="1">
      <alignment horizontal="center"/>
    </xf>
    <xf numFmtId="0" fontId="45" fillId="6" borderId="0" xfId="0" applyFont="1" applyFill="1" applyAlignment="1">
      <alignment/>
    </xf>
    <xf numFmtId="3" fontId="43" fillId="6" borderId="0" xfId="0" applyNumberFormat="1" applyFont="1" applyFill="1" applyAlignment="1">
      <alignment/>
    </xf>
    <xf numFmtId="3" fontId="33" fillId="33" borderId="20" xfId="0" applyNumberFormat="1" applyFont="1" applyFill="1" applyBorder="1" applyAlignment="1">
      <alignment/>
    </xf>
    <xf numFmtId="0" fontId="45" fillId="6" borderId="0" xfId="0" applyFont="1" applyFill="1" applyBorder="1" applyAlignment="1">
      <alignment/>
    </xf>
    <xf numFmtId="3" fontId="33" fillId="6" borderId="21" xfId="0" applyNumberFormat="1" applyFont="1" applyFill="1" applyBorder="1" applyAlignment="1">
      <alignment/>
    </xf>
    <xf numFmtId="1" fontId="45" fillId="6" borderId="0" xfId="0" applyNumberFormat="1" applyFont="1" applyFill="1" applyBorder="1" applyAlignment="1">
      <alignment/>
    </xf>
    <xf numFmtId="0" fontId="74" fillId="6" borderId="0" xfId="0" applyFont="1" applyFill="1" applyBorder="1" applyAlignment="1">
      <alignment/>
    </xf>
    <xf numFmtId="1" fontId="74" fillId="6" borderId="0" xfId="0" applyNumberFormat="1" applyFont="1" applyFill="1" applyBorder="1" applyAlignment="1">
      <alignment/>
    </xf>
    <xf numFmtId="0" fontId="47" fillId="6" borderId="0" xfId="0" applyFont="1" applyFill="1" applyBorder="1" applyAlignment="1">
      <alignment/>
    </xf>
    <xf numFmtId="0" fontId="43" fillId="6" borderId="0" xfId="0" applyFont="1" applyFill="1" applyAlignment="1">
      <alignment horizontal="center"/>
    </xf>
    <xf numFmtId="0" fontId="33" fillId="6" borderId="0" xfId="0" applyFont="1" applyFill="1" applyBorder="1" applyAlignment="1">
      <alignment horizontal="right"/>
    </xf>
    <xf numFmtId="1" fontId="41" fillId="6" borderId="0" xfId="0" applyNumberFormat="1" applyFont="1" applyFill="1" applyBorder="1" applyAlignment="1">
      <alignment horizontal="center"/>
    </xf>
    <xf numFmtId="1" fontId="33" fillId="6" borderId="0" xfId="0" applyNumberFormat="1" applyFont="1" applyFill="1" applyBorder="1" applyAlignment="1">
      <alignment horizontal="right"/>
    </xf>
    <xf numFmtId="0" fontId="43" fillId="6" borderId="0" xfId="0" applyFont="1" applyFill="1" applyAlignment="1">
      <alignment horizontal="left"/>
    </xf>
    <xf numFmtId="1" fontId="41" fillId="6" borderId="0" xfId="0" applyNumberFormat="1" applyFont="1" applyFill="1" applyAlignment="1">
      <alignment horizontal="center"/>
    </xf>
    <xf numFmtId="1" fontId="43" fillId="6" borderId="0" xfId="0" applyNumberFormat="1" applyFont="1" applyFill="1" applyAlignment="1">
      <alignment/>
    </xf>
    <xf numFmtId="3" fontId="34" fillId="6" borderId="0" xfId="0" applyNumberFormat="1" applyFont="1" applyFill="1" applyBorder="1" applyAlignment="1">
      <alignment/>
    </xf>
    <xf numFmtId="3" fontId="73" fillId="6" borderId="14" xfId="0" applyNumberFormat="1" applyFont="1" applyFill="1" applyBorder="1" applyAlignment="1">
      <alignment horizontal="right"/>
    </xf>
    <xf numFmtId="0" fontId="34" fillId="6" borderId="0" xfId="0" applyFont="1" applyFill="1" applyAlignment="1">
      <alignment horizontal="right" vertical="center" readingOrder="1"/>
    </xf>
    <xf numFmtId="0" fontId="44" fillId="6" borderId="0" xfId="0" applyFont="1" applyFill="1" applyAlignment="1">
      <alignment horizontal="left"/>
    </xf>
    <xf numFmtId="3" fontId="33" fillId="6" borderId="13" xfId="0" applyNumberFormat="1" applyFont="1" applyFill="1" applyBorder="1" applyAlignment="1">
      <alignment horizontal="right"/>
    </xf>
    <xf numFmtId="0" fontId="34" fillId="6" borderId="0" xfId="0" applyFont="1" applyFill="1" applyAlignment="1">
      <alignment horizontal="left"/>
    </xf>
    <xf numFmtId="0" fontId="33" fillId="6" borderId="0" xfId="0" applyFont="1" applyFill="1" applyAlignment="1">
      <alignment horizontal="left"/>
    </xf>
    <xf numFmtId="0" fontId="41" fillId="6" borderId="0" xfId="0" applyFont="1" applyFill="1" applyBorder="1" applyAlignment="1">
      <alignment horizontal="right"/>
    </xf>
    <xf numFmtId="0" fontId="33" fillId="6" borderId="0" xfId="0" applyFont="1" applyFill="1" applyBorder="1" applyAlignment="1">
      <alignment horizontal="center"/>
    </xf>
    <xf numFmtId="0" fontId="34" fillId="6" borderId="0" xfId="0" applyFont="1" applyFill="1" applyAlignment="1">
      <alignment horizontal="center"/>
    </xf>
    <xf numFmtId="0" fontId="33" fillId="6" borderId="0" xfId="0" applyFont="1" applyFill="1" applyAlignment="1">
      <alignment/>
    </xf>
    <xf numFmtId="15" fontId="34" fillId="6" borderId="0" xfId="0" applyNumberFormat="1" applyFont="1" applyFill="1" applyAlignment="1">
      <alignment horizontal="center"/>
    </xf>
    <xf numFmtId="0" fontId="33" fillId="6" borderId="0" xfId="0" applyFont="1" applyFill="1" applyAlignment="1">
      <alignment horizontal="center"/>
    </xf>
    <xf numFmtId="0" fontId="2" fillId="6" borderId="0" xfId="0" applyFont="1" applyFill="1" applyAlignment="1">
      <alignment horizontal="center"/>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xf>
    <xf numFmtId="0" fontId="33" fillId="6" borderId="14" xfId="0" applyFont="1" applyFill="1" applyBorder="1" applyAlignment="1">
      <alignment horizontal="center"/>
    </xf>
    <xf numFmtId="0" fontId="34" fillId="6" borderId="0" xfId="0" applyFont="1" applyFill="1" applyAlignment="1">
      <alignment horizontal="center"/>
    </xf>
    <xf numFmtId="0" fontId="34" fillId="6" borderId="0" xfId="0" applyFont="1" applyFill="1" applyAlignment="1">
      <alignment/>
    </xf>
    <xf numFmtId="0" fontId="33" fillId="6" borderId="0" xfId="0" applyFont="1" applyFill="1" applyAlignment="1">
      <alignment horizontal="center"/>
    </xf>
    <xf numFmtId="0" fontId="2" fillId="6" borderId="0" xfId="0" applyFont="1" applyFill="1" applyAlignment="1">
      <alignment horizontal="center"/>
    </xf>
    <xf numFmtId="0" fontId="33" fillId="13" borderId="0" xfId="0" applyFont="1" applyFill="1" applyAlignment="1">
      <alignment/>
    </xf>
    <xf numFmtId="0" fontId="0" fillId="13" borderId="0" xfId="0" applyFill="1" applyAlignment="1">
      <alignment/>
    </xf>
    <xf numFmtId="9" fontId="33" fillId="13" borderId="0" xfId="0" applyNumberFormat="1" applyFont="1" applyFill="1" applyAlignment="1">
      <alignment/>
    </xf>
    <xf numFmtId="10" fontId="33" fillId="13" borderId="0" xfId="0" applyNumberFormat="1" applyFont="1" applyFill="1" applyAlignment="1">
      <alignment/>
    </xf>
    <xf numFmtId="0" fontId="34" fillId="13" borderId="0" xfId="0" applyFont="1" applyFill="1" applyAlignment="1">
      <alignment horizontal="center"/>
    </xf>
    <xf numFmtId="0" fontId="34" fillId="13" borderId="0" xfId="0" applyFont="1" applyFill="1" applyBorder="1" applyAlignment="1">
      <alignment horizontal="center"/>
    </xf>
    <xf numFmtId="0" fontId="37" fillId="13" borderId="0" xfId="0" applyFont="1" applyFill="1" applyAlignment="1">
      <alignment horizontal="center"/>
    </xf>
    <xf numFmtId="3" fontId="33" fillId="6" borderId="22" xfId="0" applyNumberFormat="1" applyFont="1" applyFill="1" applyBorder="1" applyAlignment="1">
      <alignment horizontal="right"/>
    </xf>
    <xf numFmtId="8" fontId="0" fillId="6" borderId="0" xfId="0" applyNumberFormat="1" applyFill="1" applyAlignment="1">
      <alignment/>
    </xf>
    <xf numFmtId="0" fontId="75" fillId="6" borderId="0" xfId="0" applyFont="1" applyFill="1" applyBorder="1" applyAlignment="1">
      <alignment/>
    </xf>
    <xf numFmtId="181" fontId="33" fillId="6" borderId="0" xfId="0" applyNumberFormat="1" applyFont="1" applyFill="1" applyAlignment="1">
      <alignment/>
    </xf>
    <xf numFmtId="3" fontId="33" fillId="12" borderId="0" xfId="0" applyNumberFormat="1" applyFont="1" applyFill="1" applyBorder="1" applyAlignment="1">
      <alignment horizontal="right"/>
    </xf>
    <xf numFmtId="0" fontId="33" fillId="12" borderId="0" xfId="0" applyFont="1" applyFill="1" applyBorder="1" applyAlignment="1">
      <alignment horizontal="right"/>
    </xf>
    <xf numFmtId="3" fontId="33" fillId="12" borderId="0" xfId="0" applyNumberFormat="1" applyFont="1" applyFill="1" applyBorder="1" applyAlignment="1">
      <alignment/>
    </xf>
    <xf numFmtId="3" fontId="43" fillId="33" borderId="16" xfId="0" applyNumberFormat="1" applyFont="1" applyFill="1" applyBorder="1" applyAlignment="1">
      <alignment/>
    </xf>
    <xf numFmtId="3" fontId="33" fillId="6" borderId="20" xfId="0" applyNumberFormat="1" applyFont="1" applyFill="1" applyBorder="1" applyAlignment="1">
      <alignment/>
    </xf>
    <xf numFmtId="3" fontId="43" fillId="33" borderId="17" xfId="0" applyNumberFormat="1" applyFont="1" applyFill="1" applyBorder="1" applyAlignment="1">
      <alignment/>
    </xf>
    <xf numFmtId="3" fontId="43" fillId="33" borderId="0" xfId="0" applyNumberFormat="1" applyFont="1" applyFill="1" applyAlignment="1">
      <alignment/>
    </xf>
    <xf numFmtId="3" fontId="43" fillId="33" borderId="23" xfId="0" applyNumberFormat="1" applyFont="1" applyFill="1" applyBorder="1" applyAlignment="1">
      <alignment/>
    </xf>
    <xf numFmtId="1" fontId="44" fillId="6" borderId="0" xfId="0" applyNumberFormat="1" applyFont="1" applyFill="1" applyAlignment="1">
      <alignment/>
    </xf>
    <xf numFmtId="1" fontId="43" fillId="6" borderId="20" xfId="0" applyNumberFormat="1" applyFont="1" applyFill="1" applyBorder="1" applyAlignment="1">
      <alignment/>
    </xf>
    <xf numFmtId="0" fontId="43" fillId="12" borderId="0" xfId="0" applyFont="1" applyFill="1" applyAlignment="1">
      <alignment/>
    </xf>
    <xf numFmtId="0" fontId="43" fillId="6" borderId="0" xfId="0" applyFont="1" applyFill="1" applyAlignment="1">
      <alignment vertical="top" wrapText="1"/>
    </xf>
    <xf numFmtId="1" fontId="33" fillId="33" borderId="16" xfId="0" applyNumberFormat="1" applyFont="1" applyFill="1" applyBorder="1" applyAlignment="1">
      <alignment horizontal="center"/>
    </xf>
    <xf numFmtId="3" fontId="33" fillId="33" borderId="17" xfId="0" applyNumberFormat="1" applyFont="1" applyFill="1" applyBorder="1" applyAlignment="1">
      <alignment/>
    </xf>
    <xf numFmtId="4" fontId="33" fillId="6" borderId="0" xfId="0" applyNumberFormat="1" applyFont="1" applyFill="1" applyAlignment="1">
      <alignment/>
    </xf>
    <xf numFmtId="0" fontId="44" fillId="6" borderId="0" xfId="0" applyFont="1" applyFill="1" applyAlignment="1">
      <alignment horizontal="right"/>
    </xf>
    <xf numFmtId="0" fontId="43" fillId="6" borderId="0" xfId="0" applyFont="1" applyFill="1" applyAlignment="1">
      <alignment horizontal="right"/>
    </xf>
    <xf numFmtId="3" fontId="41" fillId="6" borderId="0" xfId="0" applyNumberFormat="1" applyFont="1" applyFill="1" applyAlignment="1">
      <alignment horizontal="center"/>
    </xf>
    <xf numFmtId="3" fontId="41" fillId="6" borderId="0" xfId="0" applyNumberFormat="1" applyFont="1" applyFill="1" applyBorder="1" applyAlignment="1">
      <alignment horizontal="center"/>
    </xf>
    <xf numFmtId="0" fontId="43" fillId="6" borderId="0" xfId="0" applyFont="1" applyFill="1" applyAlignment="1">
      <alignment horizontal="right" vertical="top" wrapText="1"/>
    </xf>
    <xf numFmtId="3" fontId="33" fillId="6" borderId="16" xfId="0" applyNumberFormat="1" applyFont="1" applyFill="1" applyBorder="1" applyAlignment="1">
      <alignment/>
    </xf>
    <xf numFmtId="173" fontId="33" fillId="33" borderId="19" xfId="0" applyNumberFormat="1" applyFont="1" applyFill="1" applyBorder="1" applyAlignment="1">
      <alignment/>
    </xf>
    <xf numFmtId="0" fontId="49" fillId="6" borderId="0" xfId="0" applyFont="1" applyFill="1" applyAlignment="1">
      <alignment/>
    </xf>
    <xf numFmtId="1" fontId="33" fillId="12" borderId="0" xfId="0" applyNumberFormat="1" applyFont="1" applyFill="1" applyBorder="1" applyAlignment="1">
      <alignment/>
    </xf>
    <xf numFmtId="1" fontId="33" fillId="12" borderId="0" xfId="0" applyNumberFormat="1" applyFont="1" applyFill="1" applyAlignment="1">
      <alignment/>
    </xf>
    <xf numFmtId="3" fontId="43" fillId="33" borderId="0" xfId="0" applyNumberFormat="1" applyFont="1" applyFill="1" applyBorder="1" applyAlignment="1">
      <alignment/>
    </xf>
    <xf numFmtId="3" fontId="43" fillId="33" borderId="19" xfId="0" applyNumberFormat="1" applyFont="1" applyFill="1" applyBorder="1" applyAlignment="1">
      <alignment/>
    </xf>
    <xf numFmtId="180" fontId="33" fillId="6" borderId="0" xfId="0" applyNumberFormat="1" applyFont="1" applyFill="1" applyBorder="1" applyAlignment="1">
      <alignment/>
    </xf>
    <xf numFmtId="3" fontId="33" fillId="2" borderId="24" xfId="0" applyNumberFormat="1" applyFont="1" applyFill="1" applyBorder="1" applyAlignment="1">
      <alignment/>
    </xf>
    <xf numFmtId="0" fontId="33" fillId="2" borderId="15" xfId="0" applyFont="1" applyFill="1" applyBorder="1" applyAlignment="1">
      <alignment horizontal="center"/>
    </xf>
    <xf numFmtId="0" fontId="33" fillId="6" borderId="11" xfId="0" applyFont="1" applyFill="1" applyBorder="1" applyAlignment="1">
      <alignment horizontal="center"/>
    </xf>
    <xf numFmtId="3" fontId="33" fillId="6" borderId="11" xfId="0" applyNumberFormat="1" applyFont="1" applyFill="1" applyBorder="1" applyAlignment="1">
      <alignment/>
    </xf>
    <xf numFmtId="4" fontId="0" fillId="6" borderId="0" xfId="0" applyNumberFormat="1" applyFill="1" applyAlignment="1">
      <alignment/>
    </xf>
    <xf numFmtId="0" fontId="33" fillId="6" borderId="25" xfId="0" applyFont="1" applyFill="1" applyBorder="1" applyAlignment="1">
      <alignment horizontal="center"/>
    </xf>
    <xf numFmtId="3" fontId="33" fillId="6" borderId="25" xfId="0" applyNumberFormat="1" applyFont="1" applyFill="1" applyBorder="1" applyAlignment="1">
      <alignment/>
    </xf>
    <xf numFmtId="3" fontId="33" fillId="6" borderId="26" xfId="0" applyNumberFormat="1" applyFont="1" applyFill="1" applyBorder="1" applyAlignment="1">
      <alignment/>
    </xf>
    <xf numFmtId="0" fontId="33" fillId="6" borderId="27" xfId="0" applyFont="1" applyFill="1" applyBorder="1" applyAlignment="1">
      <alignment horizontal="center"/>
    </xf>
    <xf numFmtId="3" fontId="33" fillId="6" borderId="28" xfId="0" applyNumberFormat="1" applyFont="1" applyFill="1" applyBorder="1" applyAlignment="1">
      <alignment/>
    </xf>
    <xf numFmtId="3" fontId="33" fillId="6" borderId="27" xfId="0" applyNumberFormat="1" applyFont="1" applyFill="1" applyBorder="1" applyAlignment="1">
      <alignment/>
    </xf>
    <xf numFmtId="0" fontId="0" fillId="6" borderId="29" xfId="0" applyFill="1" applyBorder="1" applyAlignment="1">
      <alignment/>
    </xf>
    <xf numFmtId="3" fontId="33" fillId="2" borderId="0" xfId="0" applyNumberFormat="1" applyFont="1" applyFill="1" applyAlignment="1">
      <alignment/>
    </xf>
    <xf numFmtId="3" fontId="33" fillId="2" borderId="30" xfId="0" applyNumberFormat="1" applyFont="1" applyFill="1" applyBorder="1" applyAlignment="1">
      <alignment/>
    </xf>
    <xf numFmtId="3" fontId="33" fillId="2" borderId="31" xfId="0" applyNumberFormat="1" applyFont="1" applyFill="1" applyBorder="1" applyAlignment="1">
      <alignment/>
    </xf>
    <xf numFmtId="3" fontId="33" fillId="6" borderId="32" xfId="0" applyNumberFormat="1" applyFont="1" applyFill="1" applyBorder="1" applyAlignment="1">
      <alignment/>
    </xf>
    <xf numFmtId="3" fontId="33" fillId="6" borderId="30" xfId="0" applyNumberFormat="1" applyFont="1" applyFill="1" applyBorder="1" applyAlignment="1">
      <alignment/>
    </xf>
    <xf numFmtId="3" fontId="33" fillId="6" borderId="31" xfId="0" applyNumberFormat="1" applyFont="1" applyFill="1" applyBorder="1" applyAlignment="1">
      <alignment/>
    </xf>
    <xf numFmtId="3" fontId="33" fillId="12" borderId="33" xfId="0" applyNumberFormat="1" applyFont="1" applyFill="1" applyBorder="1" applyAlignment="1">
      <alignment/>
    </xf>
    <xf numFmtId="3" fontId="33" fillId="12" borderId="34" xfId="0" applyNumberFormat="1" applyFont="1" applyFill="1" applyBorder="1" applyAlignment="1">
      <alignment/>
    </xf>
    <xf numFmtId="3" fontId="33" fillId="12" borderId="35" xfId="0" applyNumberFormat="1" applyFont="1" applyFill="1" applyBorder="1" applyAlignment="1">
      <alignment/>
    </xf>
    <xf numFmtId="3" fontId="33" fillId="2" borderId="0" xfId="0" applyNumberFormat="1" applyFont="1" applyFill="1" applyBorder="1" applyAlignment="1">
      <alignment/>
    </xf>
    <xf numFmtId="3" fontId="0" fillId="2" borderId="0" xfId="0" applyNumberFormat="1" applyFill="1" applyAlignment="1">
      <alignment/>
    </xf>
    <xf numFmtId="3" fontId="33" fillId="2" borderId="14" xfId="0" applyNumberFormat="1" applyFont="1" applyFill="1" applyBorder="1" applyAlignment="1">
      <alignment/>
    </xf>
    <xf numFmtId="0" fontId="33" fillId="2" borderId="26" xfId="0" applyFont="1" applyFill="1" applyBorder="1" applyAlignment="1">
      <alignment/>
    </xf>
    <xf numFmtId="0" fontId="0" fillId="34" borderId="0" xfId="0" applyFill="1" applyAlignment="1">
      <alignment/>
    </xf>
    <xf numFmtId="0" fontId="70" fillId="34" borderId="0" xfId="0" applyFont="1" applyFill="1" applyAlignment="1">
      <alignment/>
    </xf>
    <xf numFmtId="0" fontId="76" fillId="6" borderId="0" xfId="0" applyFont="1" applyFill="1" applyAlignment="1">
      <alignment/>
    </xf>
    <xf numFmtId="0" fontId="34" fillId="6" borderId="0" xfId="0" applyFont="1" applyFill="1" applyAlignment="1">
      <alignment horizontal="center"/>
    </xf>
    <xf numFmtId="0" fontId="34" fillId="6" borderId="14" xfId="0" applyFont="1" applyFill="1" applyBorder="1" applyAlignment="1">
      <alignment horizontal="center"/>
    </xf>
    <xf numFmtId="3" fontId="33" fillId="2" borderId="0" xfId="0" applyNumberFormat="1" applyFont="1" applyFill="1" applyAlignment="1">
      <alignment horizontal="right"/>
    </xf>
    <xf numFmtId="0" fontId="33" fillId="6" borderId="14" xfId="0" applyFont="1" applyFill="1" applyBorder="1" applyAlignment="1">
      <alignment horizontal="center"/>
    </xf>
    <xf numFmtId="0" fontId="33" fillId="6" borderId="0" xfId="0" applyFont="1" applyFill="1" applyBorder="1" applyAlignment="1">
      <alignment horizontal="center"/>
    </xf>
    <xf numFmtId="0" fontId="34" fillId="6" borderId="0" xfId="0" applyFont="1" applyFill="1" applyAlignment="1">
      <alignment horizontal="center"/>
    </xf>
    <xf numFmtId="0" fontId="33" fillId="6" borderId="0" xfId="0" applyFont="1" applyFill="1" applyAlignment="1">
      <alignment/>
    </xf>
    <xf numFmtId="15" fontId="34" fillId="6" borderId="0" xfId="0" applyNumberFormat="1" applyFont="1" applyFill="1" applyAlignment="1">
      <alignment horizontal="center"/>
    </xf>
    <xf numFmtId="0" fontId="34" fillId="6" borderId="0" xfId="0" applyFont="1" applyFill="1" applyAlignment="1">
      <alignment/>
    </xf>
    <xf numFmtId="0" fontId="44" fillId="6" borderId="0" xfId="0" applyFont="1" applyFill="1" applyAlignment="1">
      <alignment horizontal="center"/>
    </xf>
    <xf numFmtId="0" fontId="33" fillId="6" borderId="0" xfId="0" applyFont="1" applyFill="1" applyAlignment="1">
      <alignment horizontal="center"/>
    </xf>
    <xf numFmtId="0" fontId="34" fillId="6" borderId="0" xfId="0" applyFont="1" applyFill="1" applyBorder="1" applyAlignment="1">
      <alignment horizontal="center"/>
    </xf>
    <xf numFmtId="0" fontId="33" fillId="6" borderId="0" xfId="57" applyFont="1" applyFill="1">
      <alignment/>
      <protection/>
    </xf>
    <xf numFmtId="3" fontId="33" fillId="6" borderId="0" xfId="57" applyNumberFormat="1" applyFont="1" applyFill="1">
      <alignment/>
      <protection/>
    </xf>
    <xf numFmtId="3" fontId="33" fillId="6" borderId="0" xfId="57" applyNumberFormat="1" applyFont="1" applyFill="1" applyBorder="1">
      <alignment/>
      <protection/>
    </xf>
    <xf numFmtId="1" fontId="33" fillId="6" borderId="0" xfId="57" applyNumberFormat="1" applyFont="1" applyFill="1" applyBorder="1" applyAlignment="1">
      <alignment horizontal="right"/>
      <protection/>
    </xf>
    <xf numFmtId="0" fontId="34" fillId="6" borderId="0" xfId="57" applyFont="1" applyFill="1" applyAlignment="1">
      <alignment horizontal="left"/>
      <protection/>
    </xf>
    <xf numFmtId="0" fontId="33" fillId="6" borderId="0" xfId="57" applyFont="1" applyFill="1" applyAlignment="1">
      <alignment horizontal="left"/>
      <protection/>
    </xf>
    <xf numFmtId="3" fontId="0" fillId="12" borderId="0" xfId="0" applyNumberFormat="1" applyFont="1" applyFill="1" applyAlignment="1">
      <alignment/>
    </xf>
    <xf numFmtId="0" fontId="43" fillId="6" borderId="0" xfId="0" applyFont="1" applyFill="1" applyAlignment="1">
      <alignment horizontal="left" indent="1"/>
    </xf>
    <xf numFmtId="0" fontId="33" fillId="6" borderId="0" xfId="0" applyFont="1" applyFill="1" applyAlignment="1">
      <alignment horizontal="left" indent="1"/>
    </xf>
    <xf numFmtId="0" fontId="33" fillId="6" borderId="0" xfId="57" applyFont="1" applyFill="1" applyAlignment="1">
      <alignment horizontal="left" indent="1"/>
      <protection/>
    </xf>
    <xf numFmtId="0" fontId="43" fillId="6" borderId="0" xfId="57" applyFont="1" applyFill="1" applyAlignment="1">
      <alignment horizontal="left" indent="1"/>
      <protection/>
    </xf>
    <xf numFmtId="9" fontId="34" fillId="6" borderId="0" xfId="0" applyNumberFormat="1" applyFont="1" applyFill="1" applyAlignment="1">
      <alignment horizontal="center"/>
    </xf>
    <xf numFmtId="3" fontId="33" fillId="6" borderId="0" xfId="0" applyNumberFormat="1" applyFont="1" applyFill="1" applyAlignment="1">
      <alignment/>
    </xf>
    <xf numFmtId="0" fontId="33" fillId="6" borderId="0" xfId="0" applyFont="1" applyFill="1" applyAlignment="1">
      <alignment horizontal="center"/>
    </xf>
    <xf numFmtId="1" fontId="33" fillId="6" borderId="0" xfId="0" applyNumberFormat="1" applyFont="1" applyFill="1" applyAlignment="1">
      <alignment horizontal="right"/>
    </xf>
    <xf numFmtId="0" fontId="34" fillId="6" borderId="0" xfId="0" applyFont="1" applyFill="1" applyAlignment="1">
      <alignment horizontal="center"/>
    </xf>
    <xf numFmtId="0" fontId="0" fillId="6" borderId="0" xfId="0" applyFont="1" applyFill="1" applyAlignment="1">
      <alignment horizontal="center"/>
    </xf>
    <xf numFmtId="0" fontId="34" fillId="6" borderId="0" xfId="0" applyFont="1" applyFill="1" applyAlignment="1">
      <alignment horizontal="center"/>
    </xf>
    <xf numFmtId="0" fontId="33" fillId="13" borderId="0" xfId="0" applyFont="1" applyFill="1" applyAlignment="1">
      <alignment horizontal="right"/>
    </xf>
    <xf numFmtId="3" fontId="0" fillId="6" borderId="32" xfId="0" applyNumberFormat="1" applyFill="1" applyBorder="1" applyAlignment="1">
      <alignment/>
    </xf>
    <xf numFmtId="3" fontId="33" fillId="6" borderId="0" xfId="57" applyNumberFormat="1" applyFont="1" applyFill="1" applyBorder="1" applyAlignment="1">
      <alignment horizontal="right"/>
      <protection/>
    </xf>
    <xf numFmtId="0" fontId="33" fillId="6" borderId="0" xfId="0" applyFont="1" applyFill="1" applyAlignment="1">
      <alignment vertical="top" wrapText="1"/>
    </xf>
    <xf numFmtId="9" fontId="33" fillId="6" borderId="0" xfId="0" applyNumberFormat="1" applyFont="1" applyFill="1" applyAlignment="1">
      <alignment horizontal="center"/>
    </xf>
    <xf numFmtId="0" fontId="34" fillId="6" borderId="0" xfId="0" applyFont="1" applyFill="1" applyAlignment="1">
      <alignment horizontal="center"/>
    </xf>
    <xf numFmtId="15" fontId="34" fillId="6" borderId="0" xfId="0" applyNumberFormat="1" applyFont="1" applyFill="1" applyAlignment="1">
      <alignment horizontal="center"/>
    </xf>
    <xf numFmtId="0" fontId="0" fillId="6" borderId="0" xfId="0" applyFill="1" applyAlignment="1">
      <alignment horizontal="center" vertical="center"/>
    </xf>
    <xf numFmtId="0" fontId="0" fillId="6" borderId="36" xfId="0" applyFill="1" applyBorder="1" applyAlignment="1">
      <alignment/>
    </xf>
    <xf numFmtId="0" fontId="33" fillId="6" borderId="0" xfId="0" applyFont="1" applyFill="1" applyBorder="1" applyAlignment="1">
      <alignment horizontal="center"/>
    </xf>
    <xf numFmtId="0" fontId="34" fillId="6" borderId="0" xfId="0" applyFont="1" applyFill="1" applyAlignment="1">
      <alignment horizontal="center"/>
    </xf>
    <xf numFmtId="0" fontId="33" fillId="6" borderId="0" xfId="0" applyFont="1" applyFill="1" applyAlignment="1">
      <alignment/>
    </xf>
    <xf numFmtId="0" fontId="33" fillId="6" borderId="0" xfId="0" applyFont="1" applyFill="1" applyAlignment="1">
      <alignment horizontal="center"/>
    </xf>
    <xf numFmtId="0" fontId="33" fillId="6" borderId="0" xfId="0" applyFont="1" applyFill="1" applyAlignment="1">
      <alignment/>
    </xf>
    <xf numFmtId="0" fontId="33" fillId="0" borderId="0" xfId="0" applyFont="1" applyAlignment="1">
      <alignment/>
    </xf>
    <xf numFmtId="0" fontId="34" fillId="6" borderId="0" xfId="0" applyFont="1" applyFill="1" applyAlignment="1">
      <alignment/>
    </xf>
    <xf numFmtId="0" fontId="34" fillId="6" borderId="0" xfId="0" applyFont="1" applyFill="1" applyBorder="1" applyAlignment="1">
      <alignment horizontal="center"/>
    </xf>
    <xf numFmtId="0" fontId="10" fillId="6" borderId="0" xfId="0" applyFont="1" applyFill="1" applyAlignment="1">
      <alignment wrapText="1"/>
    </xf>
    <xf numFmtId="0" fontId="10" fillId="6" borderId="0" xfId="0" applyFont="1" applyFill="1" applyAlignment="1">
      <alignment/>
    </xf>
    <xf numFmtId="0" fontId="10" fillId="6" borderId="0" xfId="0" applyFont="1" applyFill="1" applyBorder="1" applyAlignment="1">
      <alignment wrapText="1"/>
    </xf>
    <xf numFmtId="0" fontId="12" fillId="6" borderId="0" xfId="0" applyFont="1" applyFill="1" applyAlignment="1">
      <alignment horizontal="center"/>
    </xf>
    <xf numFmtId="3" fontId="33" fillId="6" borderId="14" xfId="57" applyNumberFormat="1" applyFont="1" applyFill="1" applyBorder="1">
      <alignment/>
      <protection/>
    </xf>
    <xf numFmtId="3" fontId="33" fillId="6" borderId="16" xfId="57" applyNumberFormat="1" applyFont="1" applyFill="1" applyBorder="1">
      <alignment/>
      <protection/>
    </xf>
    <xf numFmtId="3" fontId="33" fillId="6" borderId="20" xfId="0" applyNumberFormat="1" applyFont="1" applyFill="1" applyBorder="1" applyAlignment="1">
      <alignment horizontal="right"/>
    </xf>
    <xf numFmtId="3" fontId="43" fillId="6" borderId="17" xfId="0" applyNumberFormat="1" applyFont="1" applyFill="1" applyBorder="1" applyAlignment="1">
      <alignment horizontal="right"/>
    </xf>
    <xf numFmtId="1" fontId="33" fillId="6" borderId="17" xfId="0" applyNumberFormat="1" applyFont="1" applyFill="1" applyBorder="1" applyAlignment="1">
      <alignment/>
    </xf>
    <xf numFmtId="1" fontId="33" fillId="6" borderId="20" xfId="0" applyNumberFormat="1" applyFont="1" applyFill="1" applyBorder="1" applyAlignment="1">
      <alignment/>
    </xf>
    <xf numFmtId="3" fontId="33" fillId="6" borderId="19" xfId="0" applyNumberFormat="1" applyFont="1" applyFill="1" applyBorder="1" applyAlignment="1">
      <alignment/>
    </xf>
    <xf numFmtId="4" fontId="33" fillId="6" borderId="0" xfId="0" applyNumberFormat="1" applyFont="1" applyFill="1" applyBorder="1" applyAlignment="1">
      <alignment/>
    </xf>
    <xf numFmtId="3" fontId="33" fillId="6" borderId="37" xfId="0" applyNumberFormat="1" applyFont="1" applyFill="1" applyBorder="1" applyAlignment="1">
      <alignment/>
    </xf>
    <xf numFmtId="1" fontId="33" fillId="6" borderId="18" xfId="0" applyNumberFormat="1" applyFont="1" applyFill="1" applyBorder="1" applyAlignment="1">
      <alignment/>
    </xf>
    <xf numFmtId="3" fontId="41" fillId="6" borderId="0" xfId="0" applyNumberFormat="1" applyFont="1" applyFill="1" applyBorder="1" applyAlignment="1">
      <alignment horizontal="right"/>
    </xf>
    <xf numFmtId="185" fontId="33" fillId="6" borderId="0" xfId="42" applyNumberFormat="1" applyFont="1" applyFill="1" applyBorder="1" applyAlignment="1">
      <alignment horizontal="right"/>
    </xf>
    <xf numFmtId="3" fontId="73" fillId="6" borderId="0" xfId="0" applyNumberFormat="1" applyFont="1" applyFill="1" applyAlignment="1">
      <alignment/>
    </xf>
    <xf numFmtId="3" fontId="33" fillId="6" borderId="11" xfId="0" applyNumberFormat="1" applyFont="1" applyFill="1" applyBorder="1" applyAlignment="1">
      <alignment horizontal="right"/>
    </xf>
    <xf numFmtId="0" fontId="75" fillId="6" borderId="11" xfId="0" applyFont="1" applyFill="1" applyBorder="1" applyAlignment="1">
      <alignment/>
    </xf>
    <xf numFmtId="180" fontId="33" fillId="6" borderId="11" xfId="0" applyNumberFormat="1" applyFont="1" applyFill="1" applyBorder="1" applyAlignment="1">
      <alignment/>
    </xf>
    <xf numFmtId="3" fontId="33" fillId="6" borderId="11" xfId="0" applyNumberFormat="1" applyFont="1" applyFill="1" applyBorder="1" applyAlignment="1">
      <alignment/>
    </xf>
    <xf numFmtId="181" fontId="33" fillId="6" borderId="11" xfId="0" applyNumberFormat="1" applyFont="1" applyFill="1" applyBorder="1" applyAlignment="1">
      <alignment/>
    </xf>
    <xf numFmtId="8" fontId="33" fillId="6" borderId="11" xfId="0" applyNumberFormat="1" applyFont="1" applyFill="1" applyBorder="1" applyAlignment="1">
      <alignment/>
    </xf>
    <xf numFmtId="181" fontId="33" fillId="6" borderId="11" xfId="0" applyNumberFormat="1" applyFont="1" applyFill="1" applyBorder="1" applyAlignment="1">
      <alignment/>
    </xf>
    <xf numFmtId="1" fontId="33" fillId="6" borderId="11" xfId="0" applyNumberFormat="1" applyFont="1" applyFill="1" applyBorder="1" applyAlignment="1">
      <alignment/>
    </xf>
    <xf numFmtId="1" fontId="0" fillId="6" borderId="11" xfId="0" applyNumberFormat="1" applyFill="1" applyBorder="1" applyAlignment="1">
      <alignment/>
    </xf>
    <xf numFmtId="0" fontId="34" fillId="6" borderId="11" xfId="0" applyFont="1" applyFill="1" applyBorder="1" applyAlignment="1">
      <alignment horizontal="center"/>
    </xf>
    <xf numFmtId="0" fontId="33" fillId="6" borderId="11" xfId="0" applyFont="1" applyFill="1" applyBorder="1" applyAlignment="1">
      <alignment/>
    </xf>
    <xf numFmtId="2" fontId="33" fillId="6" borderId="11" xfId="0" applyNumberFormat="1" applyFont="1" applyFill="1" applyBorder="1" applyAlignment="1">
      <alignment/>
    </xf>
    <xf numFmtId="1" fontId="33" fillId="6" borderId="11" xfId="0" applyNumberFormat="1" applyFont="1" applyFill="1" applyBorder="1" applyAlignment="1">
      <alignment horizontal="center" vertical="top" wrapText="1"/>
    </xf>
    <xf numFmtId="0" fontId="33" fillId="6" borderId="11" xfId="0" applyFont="1" applyFill="1" applyBorder="1" applyAlignment="1">
      <alignment horizontal="center" vertical="top" wrapText="1"/>
    </xf>
    <xf numFmtId="4" fontId="33" fillId="6" borderId="11" xfId="0" applyNumberFormat="1" applyFont="1" applyFill="1" applyBorder="1" applyAlignment="1">
      <alignment horizontal="center" vertical="top" wrapText="1"/>
    </xf>
    <xf numFmtId="0" fontId="33" fillId="6" borderId="38" xfId="0" applyFont="1" applyFill="1" applyBorder="1" applyAlignment="1">
      <alignment vertical="top"/>
    </xf>
    <xf numFmtId="0" fontId="33" fillId="6" borderId="10" xfId="0" applyFont="1" applyFill="1" applyBorder="1" applyAlignment="1">
      <alignment vertical="top"/>
    </xf>
    <xf numFmtId="1" fontId="33" fillId="6" borderId="25" xfId="0" applyNumberFormat="1" applyFont="1" applyFill="1" applyBorder="1" applyAlignment="1">
      <alignment vertical="top"/>
    </xf>
    <xf numFmtId="0" fontId="33" fillId="6" borderId="39" xfId="0" applyFont="1" applyFill="1" applyBorder="1" applyAlignment="1">
      <alignment vertical="top"/>
    </xf>
    <xf numFmtId="0" fontId="33" fillId="6" borderId="14" xfId="0" applyFont="1" applyFill="1" applyBorder="1" applyAlignment="1">
      <alignment vertical="top"/>
    </xf>
    <xf numFmtId="1" fontId="33" fillId="6" borderId="40" xfId="0" applyNumberFormat="1" applyFont="1" applyFill="1" applyBorder="1" applyAlignment="1">
      <alignment vertical="top"/>
    </xf>
    <xf numFmtId="0" fontId="33" fillId="6" borderId="40" xfId="0" applyFont="1" applyFill="1" applyBorder="1" applyAlignment="1">
      <alignment vertical="top"/>
    </xf>
    <xf numFmtId="0" fontId="33" fillId="6" borderId="11" xfId="0" applyFont="1" applyFill="1" applyBorder="1" applyAlignment="1">
      <alignment vertical="top"/>
    </xf>
    <xf numFmtId="0" fontId="0" fillId="6" borderId="11" xfId="0" applyFill="1" applyBorder="1" applyAlignment="1">
      <alignment/>
    </xf>
    <xf numFmtId="1" fontId="33" fillId="6" borderId="11" xfId="0" applyNumberFormat="1" applyFont="1" applyFill="1" applyBorder="1" applyAlignment="1">
      <alignment vertical="top"/>
    </xf>
    <xf numFmtId="3" fontId="33" fillId="6" borderId="11" xfId="0" applyNumberFormat="1" applyFont="1" applyFill="1" applyBorder="1" applyAlignment="1">
      <alignment vertical="top"/>
    </xf>
    <xf numFmtId="2" fontId="33" fillId="6" borderId="11" xfId="0" applyNumberFormat="1" applyFont="1" applyFill="1" applyBorder="1" applyAlignment="1">
      <alignment horizontal="center" vertical="top" wrapText="1"/>
    </xf>
    <xf numFmtId="0" fontId="33" fillId="6" borderId="0" xfId="0" applyFont="1" applyFill="1" applyBorder="1" applyAlignment="1">
      <alignment vertical="top"/>
    </xf>
    <xf numFmtId="0" fontId="33" fillId="6" borderId="41" xfId="0" applyFont="1" applyFill="1" applyBorder="1" applyAlignment="1">
      <alignment vertical="top"/>
    </xf>
    <xf numFmtId="0" fontId="33" fillId="6" borderId="21" xfId="0" applyFont="1" applyFill="1" applyBorder="1" applyAlignment="1">
      <alignment vertical="top"/>
    </xf>
    <xf numFmtId="3" fontId="33" fillId="6" borderId="33" xfId="0" applyNumberFormat="1" applyFont="1" applyFill="1" applyBorder="1" applyAlignment="1">
      <alignment/>
    </xf>
    <xf numFmtId="1" fontId="33" fillId="6" borderId="42" xfId="0" applyNumberFormat="1" applyFont="1" applyFill="1" applyBorder="1" applyAlignment="1">
      <alignment vertical="top"/>
    </xf>
    <xf numFmtId="1" fontId="33" fillId="6" borderId="39" xfId="0" applyNumberFormat="1" applyFont="1" applyFill="1" applyBorder="1" applyAlignment="1">
      <alignment vertical="top"/>
    </xf>
    <xf numFmtId="0" fontId="33" fillId="6" borderId="24" xfId="0" applyFont="1" applyFill="1" applyBorder="1" applyAlignment="1">
      <alignment vertical="top"/>
    </xf>
    <xf numFmtId="0" fontId="33" fillId="6" borderId="13" xfId="0" applyFont="1" applyFill="1" applyBorder="1" applyAlignment="1">
      <alignment vertical="top"/>
    </xf>
    <xf numFmtId="181" fontId="33" fillId="6" borderId="11" xfId="0" applyNumberFormat="1" applyFont="1" applyFill="1" applyBorder="1" applyAlignment="1">
      <alignment vertical="top" wrapText="1"/>
    </xf>
    <xf numFmtId="4" fontId="33" fillId="6" borderId="11" xfId="0" applyNumberFormat="1" applyFont="1" applyFill="1" applyBorder="1" applyAlignment="1">
      <alignment vertical="top" wrapText="1"/>
    </xf>
    <xf numFmtId="0" fontId="33" fillId="6" borderId="11" xfId="0" applyFont="1" applyFill="1" applyBorder="1" applyAlignment="1">
      <alignment vertical="top" wrapText="1"/>
    </xf>
    <xf numFmtId="2" fontId="33" fillId="6" borderId="11" xfId="0" applyNumberFormat="1" applyFont="1" applyFill="1" applyBorder="1" applyAlignment="1">
      <alignment vertical="top" wrapText="1"/>
    </xf>
    <xf numFmtId="0" fontId="33" fillId="6" borderId="0" xfId="0" applyFont="1" applyFill="1" applyAlignment="1">
      <alignment horizontal="center"/>
    </xf>
    <xf numFmtId="0" fontId="70" fillId="6" borderId="0" xfId="0" applyFont="1" applyFill="1" applyAlignment="1">
      <alignment horizontal="center"/>
    </xf>
    <xf numFmtId="0" fontId="74" fillId="6" borderId="0" xfId="0" applyFont="1" applyFill="1" applyAlignment="1">
      <alignment/>
    </xf>
    <xf numFmtId="0" fontId="74" fillId="6" borderId="0" xfId="0" applyFont="1" applyFill="1" applyAlignment="1">
      <alignment horizontal="center"/>
    </xf>
    <xf numFmtId="0" fontId="74" fillId="6" borderId="0" xfId="0" applyFont="1" applyFill="1" applyAlignment="1">
      <alignment/>
    </xf>
    <xf numFmtId="0" fontId="77" fillId="6" borderId="0" xfId="0" applyFont="1" applyFill="1" applyAlignment="1">
      <alignment/>
    </xf>
    <xf numFmtId="0" fontId="77" fillId="6" borderId="0" xfId="0" applyFont="1" applyFill="1" applyAlignment="1">
      <alignment horizontal="center"/>
    </xf>
    <xf numFmtId="3" fontId="74" fillId="6" borderId="0" xfId="0" applyNumberFormat="1" applyFont="1" applyFill="1" applyAlignment="1">
      <alignment horizontal="center"/>
    </xf>
    <xf numFmtId="3" fontId="74" fillId="6" borderId="0" xfId="0" applyNumberFormat="1" applyFont="1" applyFill="1" applyAlignment="1">
      <alignment/>
    </xf>
    <xf numFmtId="1" fontId="74" fillId="6" borderId="0" xfId="0" applyNumberFormat="1" applyFont="1" applyFill="1" applyAlignment="1">
      <alignment horizontal="center"/>
    </xf>
    <xf numFmtId="3" fontId="70" fillId="6" borderId="0" xfId="0" applyNumberFormat="1" applyFont="1" applyFill="1" applyAlignment="1">
      <alignment/>
    </xf>
    <xf numFmtId="3" fontId="78" fillId="6" borderId="0" xfId="0" applyNumberFormat="1" applyFont="1" applyFill="1" applyAlignment="1">
      <alignment/>
    </xf>
    <xf numFmtId="0" fontId="78" fillId="6" borderId="0" xfId="0" applyFont="1" applyFill="1" applyAlignment="1">
      <alignment horizontal="center"/>
    </xf>
    <xf numFmtId="0" fontId="70" fillId="0" borderId="0" xfId="0" applyFont="1" applyAlignment="1">
      <alignment/>
    </xf>
    <xf numFmtId="3" fontId="74" fillId="6" borderId="36" xfId="0" applyNumberFormat="1" applyFont="1" applyFill="1" applyBorder="1" applyAlignment="1">
      <alignment/>
    </xf>
    <xf numFmtId="3" fontId="74" fillId="6" borderId="21" xfId="0" applyNumberFormat="1" applyFont="1" applyFill="1" applyBorder="1" applyAlignment="1">
      <alignment/>
    </xf>
    <xf numFmtId="173" fontId="33" fillId="6" borderId="0" xfId="0" applyNumberFormat="1" applyFont="1" applyFill="1" applyBorder="1" applyAlignment="1">
      <alignment/>
    </xf>
    <xf numFmtId="173" fontId="33" fillId="6" borderId="13" xfId="0" applyNumberFormat="1" applyFont="1" applyFill="1" applyBorder="1" applyAlignment="1">
      <alignment/>
    </xf>
    <xf numFmtId="173" fontId="33" fillId="6" borderId="18" xfId="0" applyNumberFormat="1" applyFont="1" applyFill="1" applyBorder="1" applyAlignment="1">
      <alignment/>
    </xf>
    <xf numFmtId="173" fontId="33" fillId="6" borderId="14" xfId="0" applyNumberFormat="1" applyFont="1" applyFill="1" applyBorder="1" applyAlignment="1">
      <alignment/>
    </xf>
    <xf numFmtId="173" fontId="33" fillId="6" borderId="14" xfId="0" applyNumberFormat="1" applyFont="1" applyFill="1" applyBorder="1" applyAlignment="1">
      <alignment horizontal="right"/>
    </xf>
    <xf numFmtId="173" fontId="33" fillId="6" borderId="18" xfId="0" applyNumberFormat="1" applyFont="1" applyFill="1" applyBorder="1" applyAlignment="1">
      <alignment horizontal="right"/>
    </xf>
    <xf numFmtId="173" fontId="33" fillId="6" borderId="0" xfId="0" applyNumberFormat="1" applyFont="1" applyFill="1" applyAlignment="1" quotePrefix="1">
      <alignment horizontal="center"/>
    </xf>
    <xf numFmtId="173" fontId="33" fillId="6" borderId="0" xfId="0" applyNumberFormat="1" applyFont="1" applyFill="1" applyAlignment="1">
      <alignment horizontal="center"/>
    </xf>
    <xf numFmtId="38" fontId="33" fillId="6" borderId="18" xfId="0" applyNumberFormat="1" applyFont="1" applyFill="1" applyBorder="1" applyAlignment="1">
      <alignment horizontal="right"/>
    </xf>
    <xf numFmtId="38" fontId="33" fillId="6" borderId="14" xfId="0" applyNumberFormat="1" applyFont="1" applyFill="1" applyBorder="1" applyAlignment="1">
      <alignment horizontal="right"/>
    </xf>
    <xf numFmtId="1" fontId="33" fillId="6" borderId="14" xfId="0" applyNumberFormat="1" applyFont="1" applyFill="1" applyBorder="1" applyAlignment="1">
      <alignment horizontal="right"/>
    </xf>
    <xf numFmtId="1" fontId="33" fillId="6" borderId="18" xfId="0" applyNumberFormat="1" applyFont="1" applyFill="1" applyBorder="1" applyAlignment="1">
      <alignment horizontal="right"/>
    </xf>
    <xf numFmtId="0" fontId="33" fillId="0" borderId="0" xfId="0" applyFont="1" applyBorder="1" applyAlignment="1">
      <alignment/>
    </xf>
    <xf numFmtId="0" fontId="32" fillId="12" borderId="0" xfId="0" applyFont="1" applyFill="1" applyAlignment="1">
      <alignment horizontal="center"/>
    </xf>
    <xf numFmtId="10" fontId="10" fillId="12" borderId="0" xfId="0" applyNumberFormat="1" applyFont="1" applyFill="1" applyAlignment="1">
      <alignment/>
    </xf>
    <xf numFmtId="173" fontId="10" fillId="12" borderId="0" xfId="0" applyNumberFormat="1" applyFont="1" applyFill="1" applyAlignment="1">
      <alignment/>
    </xf>
    <xf numFmtId="173" fontId="32" fillId="12" borderId="0" xfId="0" applyNumberFormat="1" applyFont="1" applyFill="1" applyAlignment="1">
      <alignment/>
    </xf>
    <xf numFmtId="0" fontId="34" fillId="6" borderId="0" xfId="0" applyFont="1" applyFill="1" applyBorder="1" applyAlignment="1">
      <alignment horizontal="center" vertical="top" wrapText="1"/>
    </xf>
    <xf numFmtId="0" fontId="34" fillId="6" borderId="0" xfId="0" applyFont="1" applyFill="1" applyAlignment="1">
      <alignment horizontal="center" vertical="top" wrapText="1"/>
    </xf>
    <xf numFmtId="15" fontId="34" fillId="6" borderId="0" xfId="0" applyNumberFormat="1" applyFont="1" applyFill="1" applyAlignment="1">
      <alignment horizontal="center"/>
    </xf>
    <xf numFmtId="0" fontId="33" fillId="6" borderId="0" xfId="0" applyFont="1" applyFill="1" applyAlignment="1">
      <alignment horizontal="center"/>
    </xf>
    <xf numFmtId="0" fontId="33" fillId="33" borderId="0" xfId="0" applyFont="1" applyFill="1" applyAlignment="1" applyProtection="1">
      <alignment/>
      <protection locked="0"/>
    </xf>
    <xf numFmtId="3" fontId="33" fillId="33" borderId="11" xfId="0" applyNumberFormat="1" applyFont="1" applyFill="1" applyBorder="1" applyAlignment="1">
      <alignment/>
    </xf>
    <xf numFmtId="3" fontId="33" fillId="6" borderId="11" xfId="0" applyNumberFormat="1" applyFont="1" applyFill="1" applyBorder="1" applyAlignment="1">
      <alignment horizontal="center"/>
    </xf>
    <xf numFmtId="49" fontId="33" fillId="6" borderId="11" xfId="0" applyNumberFormat="1" applyFont="1" applyFill="1" applyBorder="1" applyAlignment="1">
      <alignment horizontal="center"/>
    </xf>
    <xf numFmtId="0" fontId="33" fillId="6" borderId="14" xfId="0" applyFont="1" applyFill="1" applyBorder="1" applyAlignment="1">
      <alignment horizontal="center"/>
    </xf>
    <xf numFmtId="0" fontId="33" fillId="6" borderId="0" xfId="0" applyFont="1" applyFill="1" applyBorder="1" applyAlignment="1">
      <alignment horizontal="center"/>
    </xf>
    <xf numFmtId="0" fontId="34" fillId="6" borderId="0" xfId="0" applyFont="1" applyFill="1" applyAlignment="1">
      <alignment horizontal="center"/>
    </xf>
    <xf numFmtId="0" fontId="33" fillId="6" borderId="0" xfId="0" applyFont="1" applyFill="1" applyAlignment="1">
      <alignment/>
    </xf>
    <xf numFmtId="15" fontId="34" fillId="6" borderId="0" xfId="0" applyNumberFormat="1" applyFont="1" applyFill="1" applyAlignment="1">
      <alignment horizontal="center"/>
    </xf>
    <xf numFmtId="49" fontId="0" fillId="35" borderId="0" xfId="0" applyNumberFormat="1" applyFont="1" applyFill="1" applyAlignment="1">
      <alignment horizontal="center"/>
    </xf>
    <xf numFmtId="49" fontId="0" fillId="35" borderId="0" xfId="0" applyNumberFormat="1" applyFill="1" applyAlignment="1">
      <alignment horizontal="center"/>
    </xf>
    <xf numFmtId="0" fontId="34" fillId="6" borderId="0" xfId="0" applyFont="1" applyFill="1" applyAlignment="1">
      <alignment/>
    </xf>
    <xf numFmtId="0" fontId="0" fillId="9" borderId="0" xfId="0" applyFont="1" applyFill="1" applyAlignment="1">
      <alignment horizontal="center" vertical="center" wrapText="1"/>
    </xf>
    <xf numFmtId="0" fontId="0" fillId="0" borderId="0" xfId="0" applyAlignment="1">
      <alignment horizontal="center" vertical="center" wrapText="1"/>
    </xf>
    <xf numFmtId="0" fontId="0" fillId="6" borderId="0" xfId="0" applyFont="1" applyFill="1" applyAlignment="1">
      <alignment wrapText="1"/>
    </xf>
    <xf numFmtId="0" fontId="0" fillId="0" borderId="0" xfId="0" applyAlignment="1">
      <alignment/>
    </xf>
    <xf numFmtId="0" fontId="34" fillId="6" borderId="14" xfId="0" applyFont="1" applyFill="1" applyBorder="1" applyAlignment="1">
      <alignment horizontal="center"/>
    </xf>
    <xf numFmtId="0" fontId="33" fillId="0" borderId="14" xfId="0" applyFont="1" applyBorder="1" applyAlignment="1">
      <alignment/>
    </xf>
    <xf numFmtId="0" fontId="33" fillId="0" borderId="0" xfId="0" applyFont="1" applyAlignment="1">
      <alignment/>
    </xf>
    <xf numFmtId="0" fontId="2" fillId="6" borderId="0" xfId="0" applyFont="1" applyFill="1" applyBorder="1" applyAlignment="1">
      <alignment horizontal="center"/>
    </xf>
    <xf numFmtId="0" fontId="0" fillId="6" borderId="0" xfId="0" applyFill="1" applyBorder="1" applyAlignment="1">
      <alignment/>
    </xf>
    <xf numFmtId="15" fontId="2" fillId="6" borderId="0" xfId="0" applyNumberFormat="1" applyFont="1" applyFill="1" applyBorder="1" applyAlignment="1">
      <alignment horizontal="center"/>
    </xf>
    <xf numFmtId="0" fontId="0" fillId="6" borderId="0" xfId="0" applyFill="1" applyBorder="1" applyAlignment="1">
      <alignment horizontal="center"/>
    </xf>
    <xf numFmtId="0" fontId="10" fillId="6" borderId="0" xfId="0" applyFont="1" applyFill="1" applyAlignment="1">
      <alignment vertical="top" wrapText="1"/>
    </xf>
    <xf numFmtId="0" fontId="0" fillId="6" borderId="0" xfId="0" applyFill="1" applyAlignment="1">
      <alignment vertical="top" wrapText="1"/>
    </xf>
    <xf numFmtId="0" fontId="44" fillId="6" borderId="0" xfId="0" applyFont="1" applyFill="1" applyAlignment="1">
      <alignment horizontal="center"/>
    </xf>
    <xf numFmtId="0" fontId="34" fillId="6" borderId="0" xfId="57" applyFont="1" applyFill="1" applyAlignment="1">
      <alignment horizontal="center"/>
      <protection/>
    </xf>
    <xf numFmtId="0" fontId="0" fillId="6" borderId="0" xfId="57" applyFill="1" applyAlignment="1">
      <alignment horizontal="center"/>
      <protection/>
    </xf>
    <xf numFmtId="0" fontId="44" fillId="6" borderId="0" xfId="57" applyFont="1" applyFill="1" applyAlignment="1">
      <alignment horizontal="center"/>
      <protection/>
    </xf>
    <xf numFmtId="0" fontId="33" fillId="6" borderId="0" xfId="0" applyFont="1" applyFill="1" applyAlignment="1">
      <alignment horizontal="center"/>
    </xf>
    <xf numFmtId="0" fontId="0" fillId="0" borderId="0" xfId="0" applyAlignment="1">
      <alignment horizontal="center"/>
    </xf>
    <xf numFmtId="0" fontId="76" fillId="6" borderId="0" xfId="0" applyFont="1" applyFill="1" applyAlignment="1">
      <alignment/>
    </xf>
    <xf numFmtId="0" fontId="2" fillId="0" borderId="0" xfId="0" applyFont="1" applyAlignment="1">
      <alignment/>
    </xf>
    <xf numFmtId="0" fontId="34" fillId="6" borderId="0" xfId="0" applyFont="1" applyFill="1" applyBorder="1" applyAlignment="1">
      <alignment horizontal="center"/>
    </xf>
    <xf numFmtId="0" fontId="33" fillId="0" borderId="0" xfId="0" applyFont="1" applyAlignment="1">
      <alignment horizontal="center"/>
    </xf>
    <xf numFmtId="0" fontId="34" fillId="0" borderId="14" xfId="0" applyFont="1" applyBorder="1" applyAlignment="1">
      <alignment horizontal="center"/>
    </xf>
    <xf numFmtId="0" fontId="0" fillId="6" borderId="0" xfId="0" applyFill="1" applyAlignment="1">
      <alignment horizontal="center"/>
    </xf>
    <xf numFmtId="0" fontId="2" fillId="6" borderId="0" xfId="0" applyFont="1" applyFill="1" applyAlignment="1">
      <alignment horizontal="center"/>
    </xf>
    <xf numFmtId="0" fontId="34" fillId="6" borderId="0" xfId="0" applyFont="1" applyFill="1" applyAlignment="1">
      <alignment horizontal="center" vertical="center" wrapText="1"/>
    </xf>
    <xf numFmtId="0" fontId="34" fillId="6" borderId="0" xfId="0" applyFont="1" applyFill="1" applyAlignment="1">
      <alignment horizontal="center" vertical="center"/>
    </xf>
    <xf numFmtId="0" fontId="0" fillId="0" borderId="0" xfId="0" applyAlignment="1">
      <alignment horizontal="center" vertical="center"/>
    </xf>
    <xf numFmtId="0" fontId="34" fillId="0" borderId="0" xfId="0" applyFont="1" applyAlignment="1">
      <alignment horizontal="center"/>
    </xf>
    <xf numFmtId="0" fontId="2" fillId="2" borderId="0" xfId="0" applyFont="1" applyFill="1" applyAlignment="1">
      <alignment horizontal="center"/>
    </xf>
    <xf numFmtId="0" fontId="34" fillId="2" borderId="0" xfId="0" applyFont="1" applyFill="1" applyAlignment="1">
      <alignment horizontal="center"/>
    </xf>
    <xf numFmtId="0" fontId="33" fillId="2" borderId="24" xfId="0" applyFont="1" applyFill="1" applyBorder="1" applyAlignment="1">
      <alignment horizontal="center"/>
    </xf>
    <xf numFmtId="0" fontId="0" fillId="0" borderId="43" xfId="0" applyBorder="1" applyAlignment="1">
      <alignment/>
    </xf>
    <xf numFmtId="0" fontId="33" fillId="2" borderId="13" xfId="0" applyFont="1" applyFill="1" applyBorder="1" applyAlignment="1">
      <alignment horizontal="center"/>
    </xf>
    <xf numFmtId="0" fontId="0" fillId="0" borderId="26" xfId="0" applyBorder="1" applyAlignment="1">
      <alignment/>
    </xf>
    <xf numFmtId="3" fontId="10" fillId="2" borderId="14" xfId="0" applyNumberFormat="1" applyFont="1" applyFill="1" applyBorder="1" applyAlignment="1">
      <alignment horizontal="center"/>
    </xf>
    <xf numFmtId="0" fontId="10"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57"/>
  <sheetViews>
    <sheetView tabSelected="1" zoomScalePageLayoutView="0" workbookViewId="0" topLeftCell="A1">
      <selection activeCell="M6" sqref="M6"/>
    </sheetView>
  </sheetViews>
  <sheetFormatPr defaultColWidth="9.140625" defaultRowHeight="12.75"/>
  <cols>
    <col min="1" max="1" width="4.28125" style="0" customWidth="1"/>
    <col min="2" max="2" width="3.140625" style="0" customWidth="1"/>
    <col min="3" max="3" width="31.421875" style="0" customWidth="1"/>
    <col min="4" max="4" width="12.00390625" style="0" customWidth="1"/>
    <col min="5" max="5" width="3.421875" style="0" customWidth="1"/>
    <col min="6" max="6" width="13.28125" style="0" customWidth="1"/>
    <col min="7" max="7" width="2.140625" style="0" customWidth="1"/>
    <col min="8" max="8" width="14.140625" style="0" customWidth="1"/>
    <col min="9" max="9" width="3.140625" style="0" customWidth="1"/>
    <col min="10" max="10" width="2.421875" style="0" customWidth="1"/>
    <col min="11" max="11" width="3.00390625" style="0" customWidth="1"/>
    <col min="12" max="12" width="12.8515625" style="0" customWidth="1"/>
    <col min="13" max="13" width="9.421875" style="0" customWidth="1"/>
    <col min="14" max="14" width="9.00390625" style="0" customWidth="1"/>
    <col min="15" max="15" width="8.421875" style="0" customWidth="1"/>
  </cols>
  <sheetData>
    <row r="1" spans="1:24" ht="12.75">
      <c r="A1" s="4"/>
      <c r="B1" s="5"/>
      <c r="C1" s="54" t="s">
        <v>501</v>
      </c>
      <c r="D1" s="494" t="s">
        <v>508</v>
      </c>
      <c r="E1" s="495"/>
      <c r="F1" s="495"/>
      <c r="G1" s="134"/>
      <c r="H1" s="15"/>
      <c r="I1" s="14"/>
      <c r="J1" s="7"/>
      <c r="K1" s="7"/>
      <c r="L1" s="7"/>
      <c r="M1" s="4"/>
      <c r="N1" s="4"/>
      <c r="O1" s="4"/>
      <c r="P1" s="4"/>
      <c r="Q1" s="4"/>
      <c r="R1" s="4"/>
      <c r="S1" s="4"/>
      <c r="T1" s="4"/>
      <c r="U1" s="4"/>
      <c r="V1" s="4"/>
      <c r="W1" s="4"/>
      <c r="X1" s="4"/>
    </row>
    <row r="2" spans="1:24" ht="12.75">
      <c r="A2" s="4"/>
      <c r="B2" s="21"/>
      <c r="C2" s="12"/>
      <c r="D2" s="12"/>
      <c r="E2" s="12"/>
      <c r="F2" s="12"/>
      <c r="G2" s="12"/>
      <c r="H2" s="12"/>
      <c r="I2" s="119"/>
      <c r="J2" s="11"/>
      <c r="K2" s="7"/>
      <c r="L2" s="7"/>
      <c r="M2" s="4"/>
      <c r="N2" s="4"/>
      <c r="O2" s="4"/>
      <c r="P2" s="4"/>
      <c r="Q2" s="4"/>
      <c r="R2" s="4"/>
      <c r="S2" s="4"/>
      <c r="T2" s="4"/>
      <c r="U2" s="4"/>
      <c r="V2" s="4"/>
      <c r="W2" s="4"/>
      <c r="X2" s="4"/>
    </row>
    <row r="3" spans="1:24" ht="12.75">
      <c r="A3" s="4"/>
      <c r="B3" s="12"/>
      <c r="C3" s="491" t="s">
        <v>54</v>
      </c>
      <c r="D3" s="492"/>
      <c r="E3" s="492"/>
      <c r="F3" s="492"/>
      <c r="G3" s="492"/>
      <c r="H3" s="492"/>
      <c r="I3" s="45"/>
      <c r="J3" s="117"/>
      <c r="K3" s="4"/>
      <c r="L3" s="4"/>
      <c r="M3" s="4"/>
      <c r="N3" s="4"/>
      <c r="O3" s="4"/>
      <c r="P3" s="4"/>
      <c r="Q3" s="4"/>
      <c r="R3" s="4"/>
      <c r="S3" s="4"/>
      <c r="T3" s="4"/>
      <c r="U3" s="4"/>
      <c r="V3" s="4"/>
      <c r="W3" s="4"/>
      <c r="X3" s="4"/>
    </row>
    <row r="4" spans="1:24" ht="12.75">
      <c r="A4" s="4"/>
      <c r="B4" s="12"/>
      <c r="C4" s="491" t="s">
        <v>3</v>
      </c>
      <c r="D4" s="492"/>
      <c r="E4" s="492"/>
      <c r="F4" s="492"/>
      <c r="G4" s="492"/>
      <c r="H4" s="492"/>
      <c r="I4" s="7"/>
      <c r="J4" s="117"/>
      <c r="K4" s="4"/>
      <c r="L4" s="4"/>
      <c r="M4" s="4"/>
      <c r="N4" s="4"/>
      <c r="O4" s="4"/>
      <c r="P4" s="4"/>
      <c r="Q4" s="4"/>
      <c r="R4" s="4"/>
      <c r="S4" s="4"/>
      <c r="T4" s="4"/>
      <c r="U4" s="4"/>
      <c r="V4" s="4"/>
      <c r="W4" s="4"/>
      <c r="X4" s="4"/>
    </row>
    <row r="5" spans="1:24" ht="12.75">
      <c r="A5" s="4"/>
      <c r="B5" s="12"/>
      <c r="C5" s="493" t="s">
        <v>62</v>
      </c>
      <c r="D5" s="492"/>
      <c r="E5" s="492"/>
      <c r="F5" s="492"/>
      <c r="G5" s="492"/>
      <c r="H5" s="492"/>
      <c r="I5" s="7"/>
      <c r="J5" s="117"/>
      <c r="K5" s="4"/>
      <c r="L5" s="4"/>
      <c r="M5" s="4"/>
      <c r="N5" s="4"/>
      <c r="O5" s="4"/>
      <c r="P5" s="4"/>
      <c r="Q5" s="4"/>
      <c r="R5" s="4"/>
      <c r="S5" s="4"/>
      <c r="T5" s="4"/>
      <c r="U5" s="4"/>
      <c r="V5" s="4"/>
      <c r="W5" s="4"/>
      <c r="X5" s="4"/>
    </row>
    <row r="6" spans="1:24" ht="12.75">
      <c r="A6" s="4"/>
      <c r="B6" s="12"/>
      <c r="C6" s="157"/>
      <c r="D6" s="100"/>
      <c r="E6" s="100"/>
      <c r="F6" s="100"/>
      <c r="G6" s="100"/>
      <c r="H6" s="100"/>
      <c r="I6" s="4"/>
      <c r="J6" s="12"/>
      <c r="K6" s="4"/>
      <c r="L6" s="4"/>
      <c r="M6" s="4"/>
      <c r="N6" s="4"/>
      <c r="O6" s="4"/>
      <c r="P6" s="4"/>
      <c r="Q6" s="4"/>
      <c r="R6" s="4"/>
      <c r="S6" s="4"/>
      <c r="T6" s="4"/>
      <c r="U6" s="4"/>
      <c r="V6" s="4"/>
      <c r="W6" s="4"/>
      <c r="X6" s="4"/>
    </row>
    <row r="7" spans="1:24" ht="12.75">
      <c r="A7" s="4"/>
      <c r="B7" s="12"/>
      <c r="C7" s="94"/>
      <c r="D7" s="489"/>
      <c r="E7" s="490"/>
      <c r="F7" s="489"/>
      <c r="G7" s="149"/>
      <c r="H7" s="149"/>
      <c r="I7" s="4"/>
      <c r="J7" s="12"/>
      <c r="K7" s="4"/>
      <c r="L7" s="4"/>
      <c r="M7" s="4"/>
      <c r="N7" s="4"/>
      <c r="O7" s="4"/>
      <c r="P7" s="4"/>
      <c r="Q7" s="4"/>
      <c r="R7" s="4"/>
      <c r="S7" s="4"/>
      <c r="T7" s="4"/>
      <c r="U7" s="4"/>
      <c r="V7" s="4"/>
      <c r="W7" s="4"/>
      <c r="X7" s="4"/>
    </row>
    <row r="8" spans="1:24" ht="12.75">
      <c r="A8" s="4"/>
      <c r="B8" s="12"/>
      <c r="C8" s="94"/>
      <c r="D8" s="104" t="s">
        <v>22</v>
      </c>
      <c r="E8" s="159"/>
      <c r="F8" s="104" t="s">
        <v>12</v>
      </c>
      <c r="G8" s="159"/>
      <c r="H8" s="104" t="s">
        <v>53</v>
      </c>
      <c r="I8" s="4"/>
      <c r="J8" s="12"/>
      <c r="K8" s="4"/>
      <c r="L8" s="4"/>
      <c r="M8" s="4"/>
      <c r="N8" s="4"/>
      <c r="O8" s="4"/>
      <c r="P8" s="4"/>
      <c r="Q8" s="4"/>
      <c r="R8" s="4"/>
      <c r="S8" s="4"/>
      <c r="T8" s="4"/>
      <c r="U8" s="4"/>
      <c r="V8" s="4"/>
      <c r="W8" s="4"/>
      <c r="X8" s="4"/>
    </row>
    <row r="9" spans="1:24" ht="12.75">
      <c r="A9" s="4"/>
      <c r="B9" s="12"/>
      <c r="C9" s="94" t="s">
        <v>64</v>
      </c>
      <c r="D9" s="94"/>
      <c r="E9" s="94"/>
      <c r="F9" s="94"/>
      <c r="G9" s="94"/>
      <c r="H9" s="94"/>
      <c r="I9" s="45"/>
      <c r="J9" s="117"/>
      <c r="K9" s="4"/>
      <c r="L9" s="7"/>
      <c r="M9" s="4"/>
      <c r="N9" s="4"/>
      <c r="O9" s="4"/>
      <c r="P9" s="4"/>
      <c r="Q9" s="4"/>
      <c r="R9" s="4"/>
      <c r="S9" s="4"/>
      <c r="T9" s="4"/>
      <c r="U9" s="4"/>
      <c r="V9" s="4"/>
      <c r="W9" s="4"/>
      <c r="X9" s="4"/>
    </row>
    <row r="10" spans="1:24" ht="12.75">
      <c r="A10" s="4"/>
      <c r="B10" s="12"/>
      <c r="C10" s="94" t="s">
        <v>65</v>
      </c>
      <c r="D10" s="161">
        <f>H129*F129</f>
        <v>5083000</v>
      </c>
      <c r="E10" s="161"/>
      <c r="F10" s="161">
        <f>F131*H131</f>
        <v>5980000</v>
      </c>
      <c r="G10" s="161"/>
      <c r="H10" s="161">
        <f>H133*F133</f>
        <v>4485000</v>
      </c>
      <c r="I10" s="7"/>
      <c r="J10" s="117"/>
      <c r="K10" s="4"/>
      <c r="L10" s="4"/>
      <c r="M10" s="4"/>
      <c r="N10" s="4"/>
      <c r="O10" s="4"/>
      <c r="P10" s="4"/>
      <c r="Q10" s="4"/>
      <c r="R10" s="4"/>
      <c r="S10" s="4"/>
      <c r="T10" s="4"/>
      <c r="U10" s="4"/>
      <c r="V10" s="4"/>
      <c r="W10" s="4"/>
      <c r="X10" s="4"/>
    </row>
    <row r="11" spans="1:24" ht="12.75">
      <c r="A11" s="4"/>
      <c r="B11" s="12"/>
      <c r="C11" s="94" t="s">
        <v>55</v>
      </c>
      <c r="D11" s="167">
        <f>H141</f>
        <v>3711600</v>
      </c>
      <c r="E11" s="161"/>
      <c r="F11" s="167">
        <f>H145</f>
        <v>4342000</v>
      </c>
      <c r="G11" s="161"/>
      <c r="H11" s="167">
        <f>H149</f>
        <v>3294000</v>
      </c>
      <c r="I11" s="7"/>
      <c r="J11" s="117"/>
      <c r="K11" s="4"/>
      <c r="L11" s="4"/>
      <c r="M11" s="4"/>
      <c r="N11" s="4"/>
      <c r="O11" s="4"/>
      <c r="P11" s="4"/>
      <c r="Q11" s="4"/>
      <c r="R11" s="4"/>
      <c r="S11" s="4"/>
      <c r="T11" s="4"/>
      <c r="U11" s="4"/>
      <c r="V11" s="4"/>
      <c r="W11" s="4"/>
      <c r="X11" s="4"/>
    </row>
    <row r="12" spans="1:24" ht="12.75">
      <c r="A12" s="4"/>
      <c r="B12" s="12"/>
      <c r="C12" s="94" t="s">
        <v>66</v>
      </c>
      <c r="D12" s="161">
        <f>D10-D11</f>
        <v>1371400</v>
      </c>
      <c r="E12" s="161"/>
      <c r="F12" s="161">
        <f>F10-F11</f>
        <v>1638000</v>
      </c>
      <c r="G12" s="161"/>
      <c r="H12" s="161">
        <f>H10-H11</f>
        <v>1191000</v>
      </c>
      <c r="I12" s="4"/>
      <c r="J12" s="12"/>
      <c r="K12" s="4"/>
      <c r="L12" s="4"/>
      <c r="M12" s="4"/>
      <c r="N12" s="4"/>
      <c r="O12" s="4"/>
      <c r="P12" s="4"/>
      <c r="Q12" s="4"/>
      <c r="R12" s="4"/>
      <c r="S12" s="4"/>
      <c r="T12" s="4"/>
      <c r="U12" s="4"/>
      <c r="V12" s="4"/>
      <c r="W12" s="4"/>
      <c r="X12" s="4"/>
    </row>
    <row r="13" spans="1:24" ht="12.75">
      <c r="A13" s="4"/>
      <c r="B13" s="12"/>
      <c r="C13" s="94"/>
      <c r="D13" s="106"/>
      <c r="E13" s="106"/>
      <c r="F13" s="106"/>
      <c r="G13" s="106"/>
      <c r="H13" s="106"/>
      <c r="I13" s="4"/>
      <c r="J13" s="12"/>
      <c r="K13" s="4"/>
      <c r="L13" s="4"/>
      <c r="M13" s="4"/>
      <c r="N13" s="4"/>
      <c r="O13" s="4"/>
      <c r="P13" s="4"/>
      <c r="Q13" s="4"/>
      <c r="R13" s="4"/>
      <c r="S13" s="4"/>
      <c r="T13" s="4"/>
      <c r="U13" s="4"/>
      <c r="V13" s="4"/>
      <c r="W13" s="4"/>
      <c r="X13" s="4"/>
    </row>
    <row r="14" spans="1:24" ht="12.75">
      <c r="A14" s="4"/>
      <c r="B14" s="12"/>
      <c r="C14" s="94" t="s">
        <v>67</v>
      </c>
      <c r="D14" s="106"/>
      <c r="E14" s="106"/>
      <c r="F14" s="106"/>
      <c r="G14" s="106"/>
      <c r="H14" s="161"/>
      <c r="I14" s="4"/>
      <c r="J14" s="12"/>
      <c r="K14" s="4"/>
      <c r="L14" s="4"/>
      <c r="M14" s="4"/>
      <c r="N14" s="4"/>
      <c r="O14" s="4"/>
      <c r="P14" s="4"/>
      <c r="Q14" s="4"/>
      <c r="R14" s="4"/>
      <c r="S14" s="4"/>
      <c r="T14" s="4"/>
      <c r="U14" s="4"/>
      <c r="V14" s="4"/>
      <c r="W14" s="4"/>
      <c r="X14" s="4"/>
    </row>
    <row r="15" spans="1:24" ht="12.75">
      <c r="A15" s="4"/>
      <c r="B15" s="12"/>
      <c r="C15" s="94" t="s">
        <v>71</v>
      </c>
      <c r="D15" s="94"/>
      <c r="E15" s="94"/>
      <c r="F15" s="94"/>
      <c r="G15" s="94"/>
      <c r="H15" s="106"/>
      <c r="I15" s="45"/>
      <c r="J15" s="117"/>
      <c r="K15" s="4"/>
      <c r="L15" s="7"/>
      <c r="M15" s="4"/>
      <c r="N15" s="4"/>
      <c r="O15" s="4"/>
      <c r="P15" s="4"/>
      <c r="Q15" s="4"/>
      <c r="R15" s="4"/>
      <c r="S15" s="4"/>
      <c r="T15" s="4"/>
      <c r="U15" s="4"/>
      <c r="V15" s="4"/>
      <c r="W15" s="4"/>
      <c r="X15" s="4"/>
    </row>
    <row r="16" spans="1:24" ht="12.75">
      <c r="A16" s="4"/>
      <c r="B16" s="12"/>
      <c r="C16" s="94" t="s">
        <v>324</v>
      </c>
      <c r="D16" s="161">
        <f>D12*0.02</f>
        <v>27428</v>
      </c>
      <c r="E16" s="161"/>
      <c r="F16" s="161">
        <f>F12*0.02</f>
        <v>32760</v>
      </c>
      <c r="G16" s="161"/>
      <c r="H16" s="161">
        <f>H12*0.02</f>
        <v>23820</v>
      </c>
      <c r="I16" s="7"/>
      <c r="J16" s="117"/>
      <c r="K16" s="4"/>
      <c r="L16" s="4"/>
      <c r="M16" s="4"/>
      <c r="N16" s="4"/>
      <c r="O16" s="4"/>
      <c r="P16" s="4"/>
      <c r="Q16" s="4"/>
      <c r="R16" s="4"/>
      <c r="S16" s="4"/>
      <c r="T16" s="4"/>
      <c r="U16" s="4"/>
      <c r="V16" s="4"/>
      <c r="W16" s="4"/>
      <c r="X16" s="4"/>
    </row>
    <row r="17" spans="1:24" ht="12.75">
      <c r="A17" s="4"/>
      <c r="B17" s="12"/>
      <c r="C17" s="94" t="s">
        <v>68</v>
      </c>
      <c r="D17" s="161">
        <v>6000</v>
      </c>
      <c r="E17" s="161"/>
      <c r="F17" s="161">
        <v>6000</v>
      </c>
      <c r="G17" s="161"/>
      <c r="H17" s="161">
        <v>6000</v>
      </c>
      <c r="I17" s="7"/>
      <c r="J17" s="117"/>
      <c r="K17" s="4"/>
      <c r="L17" s="4"/>
      <c r="M17" s="4"/>
      <c r="N17" s="4"/>
      <c r="O17" s="4"/>
      <c r="P17" s="4"/>
      <c r="Q17" s="4"/>
      <c r="R17" s="4"/>
      <c r="S17" s="4"/>
      <c r="T17" s="4"/>
      <c r="U17" s="4"/>
      <c r="V17" s="4"/>
      <c r="W17" s="4"/>
      <c r="X17" s="4"/>
    </row>
    <row r="18" spans="1:24" ht="12.75">
      <c r="A18" s="4"/>
      <c r="B18" s="12"/>
      <c r="C18" s="94" t="s">
        <v>259</v>
      </c>
      <c r="D18" s="161">
        <f>D10*0.03</f>
        <v>152490</v>
      </c>
      <c r="E18" s="161"/>
      <c r="F18" s="161">
        <f>F10*0.03</f>
        <v>179400</v>
      </c>
      <c r="G18" s="161"/>
      <c r="H18" s="161">
        <f>H10*0.03</f>
        <v>134550</v>
      </c>
      <c r="I18" s="7"/>
      <c r="J18" s="117"/>
      <c r="K18" s="4"/>
      <c r="L18" s="4"/>
      <c r="M18" s="4"/>
      <c r="N18" s="4"/>
      <c r="O18" s="4"/>
      <c r="P18" s="4"/>
      <c r="Q18" s="4"/>
      <c r="R18" s="4"/>
      <c r="S18" s="4"/>
      <c r="T18" s="4"/>
      <c r="U18" s="4"/>
      <c r="V18" s="4"/>
      <c r="W18" s="4"/>
      <c r="X18" s="4"/>
    </row>
    <row r="19" spans="1:24" ht="12.75">
      <c r="A19" s="4"/>
      <c r="B19" s="12"/>
      <c r="C19" s="94" t="s">
        <v>70</v>
      </c>
      <c r="D19" s="111">
        <f>D10*0.01</f>
        <v>50830</v>
      </c>
      <c r="E19" s="111"/>
      <c r="F19" s="111">
        <f>F10*0.01</f>
        <v>59800</v>
      </c>
      <c r="G19" s="111"/>
      <c r="H19" s="111">
        <f>H10*0.01</f>
        <v>44850</v>
      </c>
      <c r="I19" s="4"/>
      <c r="J19" s="12"/>
      <c r="K19" s="4"/>
      <c r="L19" s="4"/>
      <c r="M19" s="4"/>
      <c r="N19" s="4"/>
      <c r="O19" s="4"/>
      <c r="P19" s="4"/>
      <c r="Q19" s="4"/>
      <c r="R19" s="4"/>
      <c r="S19" s="4"/>
      <c r="T19" s="4"/>
      <c r="U19" s="4"/>
      <c r="V19" s="4"/>
      <c r="W19" s="4"/>
      <c r="X19" s="4"/>
    </row>
    <row r="20" spans="1:24" ht="12.75">
      <c r="A20" s="4"/>
      <c r="B20" s="12"/>
      <c r="C20" s="94" t="s">
        <v>323</v>
      </c>
      <c r="D20" s="182">
        <f>SUM(F128+F129)*30</f>
        <v>102000</v>
      </c>
      <c r="E20" s="111"/>
      <c r="F20" s="182">
        <f>(F131)*30</f>
        <v>120000</v>
      </c>
      <c r="G20" s="111"/>
      <c r="H20" s="182">
        <f>F133*30</f>
        <v>90000</v>
      </c>
      <c r="I20" s="4"/>
      <c r="J20" s="12"/>
      <c r="K20" s="4"/>
      <c r="L20" s="4"/>
      <c r="M20" s="4"/>
      <c r="N20" s="4"/>
      <c r="O20" s="4"/>
      <c r="P20" s="4"/>
      <c r="Q20" s="4"/>
      <c r="R20" s="4"/>
      <c r="S20" s="4"/>
      <c r="T20" s="4"/>
      <c r="U20" s="4"/>
      <c r="V20" s="4"/>
      <c r="W20" s="4"/>
      <c r="X20" s="4"/>
    </row>
    <row r="21" spans="1:24" ht="12.75">
      <c r="A21" s="4"/>
      <c r="B21" s="12"/>
      <c r="C21" s="94" t="s">
        <v>77</v>
      </c>
      <c r="D21" s="161">
        <f>D16+D17+D19+D20+D18</f>
        <v>338748</v>
      </c>
      <c r="E21" s="161"/>
      <c r="F21" s="161">
        <f>F16+F17+F19+F20+F18</f>
        <v>397960</v>
      </c>
      <c r="G21" s="161"/>
      <c r="H21" s="161">
        <f>H16+H17+H19+H20+H18</f>
        <v>299220</v>
      </c>
      <c r="I21" s="5"/>
      <c r="J21" s="12"/>
      <c r="K21" s="4"/>
      <c r="L21" s="4"/>
      <c r="M21" s="4"/>
      <c r="N21" s="4"/>
      <c r="O21" s="4"/>
      <c r="P21" s="4"/>
      <c r="Q21" s="4"/>
      <c r="R21" s="4"/>
      <c r="S21" s="4"/>
      <c r="T21" s="4"/>
      <c r="U21" s="4"/>
      <c r="V21" s="4"/>
      <c r="W21" s="4"/>
      <c r="X21" s="4"/>
    </row>
    <row r="22" spans="1:24" ht="12.75">
      <c r="A22" s="4"/>
      <c r="B22" s="12"/>
      <c r="C22" s="94"/>
      <c r="D22" s="111"/>
      <c r="E22" s="111"/>
      <c r="F22" s="111"/>
      <c r="G22" s="111"/>
      <c r="H22" s="161"/>
      <c r="I22" s="16"/>
      <c r="J22" s="118"/>
      <c r="K22" s="4"/>
      <c r="L22" s="4"/>
      <c r="M22" s="4"/>
      <c r="N22" s="4"/>
      <c r="O22" s="4"/>
      <c r="P22" s="4"/>
      <c r="Q22" s="4"/>
      <c r="R22" s="4"/>
      <c r="S22" s="4"/>
      <c r="T22" s="4"/>
      <c r="U22" s="4"/>
      <c r="V22" s="4"/>
      <c r="W22" s="4"/>
      <c r="X22" s="4"/>
    </row>
    <row r="23" spans="1:24" ht="12.75">
      <c r="A23" s="4"/>
      <c r="B23" s="12"/>
      <c r="C23" s="94" t="s">
        <v>72</v>
      </c>
      <c r="D23" s="111"/>
      <c r="E23" s="111"/>
      <c r="F23" s="111"/>
      <c r="G23" s="111"/>
      <c r="H23" s="161"/>
      <c r="I23" s="16"/>
      <c r="J23" s="12"/>
      <c r="K23" s="4"/>
      <c r="L23" s="4"/>
      <c r="M23" s="4"/>
      <c r="N23" s="4"/>
      <c r="O23" s="4"/>
      <c r="P23" s="4"/>
      <c r="Q23" s="4"/>
      <c r="R23" s="4"/>
      <c r="S23" s="4"/>
      <c r="T23" s="4"/>
      <c r="U23" s="4"/>
      <c r="V23" s="4"/>
      <c r="W23" s="4"/>
      <c r="X23" s="4"/>
    </row>
    <row r="24" spans="1:24" ht="12.75">
      <c r="A24" s="4"/>
      <c r="B24" s="12"/>
      <c r="C24" s="94" t="s">
        <v>78</v>
      </c>
      <c r="D24" s="111">
        <v>170000</v>
      </c>
      <c r="E24" s="111"/>
      <c r="F24" s="111">
        <v>170000</v>
      </c>
      <c r="G24" s="111"/>
      <c r="H24" s="161">
        <v>140000</v>
      </c>
      <c r="I24" s="14"/>
      <c r="J24" s="11"/>
      <c r="K24" s="4"/>
      <c r="L24" s="4"/>
      <c r="M24" s="4"/>
      <c r="N24" s="4"/>
      <c r="O24" s="4"/>
      <c r="P24" s="4"/>
      <c r="Q24" s="4"/>
      <c r="R24" s="4"/>
      <c r="S24" s="4"/>
      <c r="T24" s="4"/>
      <c r="U24" s="4"/>
      <c r="V24" s="4"/>
      <c r="W24" s="4"/>
      <c r="X24" s="4"/>
    </row>
    <row r="25" spans="1:24" ht="12.75">
      <c r="A25" s="4"/>
      <c r="B25" s="12"/>
      <c r="C25" s="94" t="s">
        <v>79</v>
      </c>
      <c r="D25" s="111">
        <v>220000</v>
      </c>
      <c r="E25" s="111"/>
      <c r="F25" s="111">
        <v>220000</v>
      </c>
      <c r="G25" s="111"/>
      <c r="H25" s="161">
        <v>170000</v>
      </c>
      <c r="I25" s="30"/>
      <c r="J25" s="11"/>
      <c r="K25" s="4"/>
      <c r="L25" s="4"/>
      <c r="M25" s="4"/>
      <c r="N25" s="4"/>
      <c r="O25" s="4"/>
      <c r="P25" s="4"/>
      <c r="Q25" s="4"/>
      <c r="R25" s="4"/>
      <c r="S25" s="4"/>
      <c r="T25" s="4"/>
      <c r="U25" s="4"/>
      <c r="V25" s="4"/>
      <c r="W25" s="4"/>
      <c r="X25" s="4"/>
    </row>
    <row r="26" spans="1:24" ht="12.75">
      <c r="A26" s="4"/>
      <c r="B26" s="12"/>
      <c r="C26" s="94" t="s">
        <v>80</v>
      </c>
      <c r="D26" s="161">
        <f>(D24+D25)*0.0765</f>
        <v>29835</v>
      </c>
      <c r="E26" s="161"/>
      <c r="F26" s="161">
        <f>(F24+F25)*0.0765</f>
        <v>29835</v>
      </c>
      <c r="G26" s="161"/>
      <c r="H26" s="161">
        <f>(H24+H25)*0.0765</f>
        <v>23715</v>
      </c>
      <c r="I26" s="7"/>
      <c r="J26" s="11"/>
      <c r="K26" s="4"/>
      <c r="L26" s="4"/>
      <c r="M26" s="4"/>
      <c r="N26" s="4"/>
      <c r="O26" s="4"/>
      <c r="P26" s="4"/>
      <c r="Q26" s="4"/>
      <c r="R26" s="4"/>
      <c r="S26" s="4"/>
      <c r="T26" s="4"/>
      <c r="U26" s="4"/>
      <c r="V26" s="4"/>
      <c r="W26" s="4"/>
      <c r="X26" s="4"/>
    </row>
    <row r="27" spans="1:24" ht="12.75">
      <c r="A27" s="4"/>
      <c r="B27" s="12"/>
      <c r="C27" s="94" t="s">
        <v>325</v>
      </c>
      <c r="D27" s="111">
        <v>150000</v>
      </c>
      <c r="E27" s="111"/>
      <c r="F27" s="111">
        <v>135000</v>
      </c>
      <c r="G27" s="111"/>
      <c r="H27" s="161">
        <v>130000</v>
      </c>
      <c r="I27" s="7"/>
      <c r="J27" s="11"/>
      <c r="K27" s="4"/>
      <c r="L27" s="4"/>
      <c r="M27" s="4"/>
      <c r="N27" s="4"/>
      <c r="O27" s="4"/>
      <c r="P27" s="4"/>
      <c r="Q27" s="4"/>
      <c r="R27" s="4"/>
      <c r="S27" s="4"/>
      <c r="T27" s="4"/>
      <c r="U27" s="4"/>
      <c r="V27" s="4"/>
      <c r="W27" s="4"/>
      <c r="X27" s="4"/>
    </row>
    <row r="28" spans="1:24" ht="12.75">
      <c r="A28" s="4"/>
      <c r="B28" s="12"/>
      <c r="C28" s="94" t="s">
        <v>326</v>
      </c>
      <c r="D28" s="111">
        <v>33000</v>
      </c>
      <c r="E28" s="111"/>
      <c r="F28" s="111">
        <v>33000</v>
      </c>
      <c r="G28" s="111"/>
      <c r="H28" s="161">
        <v>32000</v>
      </c>
      <c r="I28" s="4"/>
      <c r="J28" s="12"/>
      <c r="K28" s="4"/>
      <c r="L28" s="4"/>
      <c r="M28" s="4"/>
      <c r="N28" s="4"/>
      <c r="O28" s="4"/>
      <c r="P28" s="4"/>
      <c r="Q28" s="4"/>
      <c r="R28" s="4"/>
      <c r="S28" s="4"/>
      <c r="T28" s="4"/>
      <c r="U28" s="4"/>
      <c r="V28" s="4"/>
      <c r="W28" s="4"/>
      <c r="X28" s="4"/>
    </row>
    <row r="29" spans="1:24" ht="12.75">
      <c r="A29" s="4"/>
      <c r="B29" s="12"/>
      <c r="C29" s="94" t="s">
        <v>81</v>
      </c>
      <c r="D29" s="161">
        <f>D12*0.06</f>
        <v>82284</v>
      </c>
      <c r="E29" s="161"/>
      <c r="F29" s="161">
        <f>F12*0.06</f>
        <v>98280</v>
      </c>
      <c r="G29" s="161"/>
      <c r="H29" s="161">
        <f>H12*0.06</f>
        <v>71460</v>
      </c>
      <c r="I29" s="4"/>
      <c r="J29" s="12"/>
      <c r="K29" s="4"/>
      <c r="L29" s="4"/>
      <c r="M29" s="4"/>
      <c r="N29" s="4"/>
      <c r="O29" s="4"/>
      <c r="P29" s="4"/>
      <c r="Q29" s="4"/>
      <c r="R29" s="4"/>
      <c r="S29" s="4"/>
      <c r="T29" s="4"/>
      <c r="U29" s="4"/>
      <c r="V29" s="4"/>
      <c r="W29" s="4"/>
      <c r="X29" s="4"/>
    </row>
    <row r="30" spans="1:24" ht="12.75">
      <c r="A30" s="4"/>
      <c r="B30" s="12"/>
      <c r="C30" s="94" t="s">
        <v>84</v>
      </c>
      <c r="D30" s="111">
        <v>80000</v>
      </c>
      <c r="E30" s="111"/>
      <c r="F30" s="161">
        <v>80000</v>
      </c>
      <c r="G30" s="111"/>
      <c r="H30" s="161">
        <v>80000</v>
      </c>
      <c r="I30" s="4"/>
      <c r="J30" s="12"/>
      <c r="K30" s="4"/>
      <c r="L30" s="4"/>
      <c r="M30" s="4"/>
      <c r="N30" s="4"/>
      <c r="O30" s="4"/>
      <c r="P30" s="4"/>
      <c r="Q30" s="4"/>
      <c r="R30" s="4"/>
      <c r="S30" s="4"/>
      <c r="T30" s="4"/>
      <c r="U30" s="4"/>
      <c r="V30" s="4"/>
      <c r="W30" s="4"/>
      <c r="X30" s="4"/>
    </row>
    <row r="31" spans="1:24" ht="12.75">
      <c r="A31" s="4"/>
      <c r="B31" s="12"/>
      <c r="C31" s="94" t="s">
        <v>75</v>
      </c>
      <c r="D31" s="182">
        <v>170000</v>
      </c>
      <c r="E31" s="111"/>
      <c r="F31" s="182">
        <v>158000</v>
      </c>
      <c r="G31" s="111"/>
      <c r="H31" s="167">
        <v>120500</v>
      </c>
      <c r="I31" s="4"/>
      <c r="J31" s="12"/>
      <c r="K31" s="4"/>
      <c r="L31" s="4"/>
      <c r="M31" s="4"/>
      <c r="N31" s="4"/>
      <c r="O31" s="4"/>
      <c r="P31" s="4"/>
      <c r="Q31" s="4"/>
      <c r="R31" s="4"/>
      <c r="S31" s="4"/>
      <c r="T31" s="4"/>
      <c r="U31" s="4"/>
      <c r="V31" s="4"/>
      <c r="W31" s="4"/>
      <c r="X31" s="4"/>
    </row>
    <row r="32" spans="1:24" ht="12.75">
      <c r="A32" s="4"/>
      <c r="B32" s="12"/>
      <c r="C32" s="94" t="s">
        <v>76</v>
      </c>
      <c r="D32" s="161">
        <f>SUM(D24:D31)</f>
        <v>935119</v>
      </c>
      <c r="E32" s="161"/>
      <c r="F32" s="161">
        <f>SUM(F24:F31)</f>
        <v>924115</v>
      </c>
      <c r="G32" s="161"/>
      <c r="H32" s="161">
        <f>SUM(H24:H31)</f>
        <v>767675</v>
      </c>
      <c r="I32" s="4"/>
      <c r="J32" s="12"/>
      <c r="K32" s="4"/>
      <c r="L32" s="4"/>
      <c r="M32" s="4"/>
      <c r="N32" s="4"/>
      <c r="O32" s="4"/>
      <c r="P32" s="4"/>
      <c r="Q32" s="4"/>
      <c r="R32" s="4"/>
      <c r="S32" s="4"/>
      <c r="T32" s="4"/>
      <c r="U32" s="4"/>
      <c r="V32" s="4"/>
      <c r="W32" s="4"/>
      <c r="X32" s="4"/>
    </row>
    <row r="33" spans="1:24" ht="12.75">
      <c r="A33" s="4"/>
      <c r="B33" s="12"/>
      <c r="C33" s="94"/>
      <c r="D33" s="111"/>
      <c r="E33" s="111"/>
      <c r="F33" s="111"/>
      <c r="G33" s="111"/>
      <c r="H33" s="111"/>
      <c r="I33" s="4"/>
      <c r="J33" s="12"/>
      <c r="K33" s="4"/>
      <c r="L33" s="4"/>
      <c r="M33" s="4"/>
      <c r="N33" s="4"/>
      <c r="O33" s="4"/>
      <c r="P33" s="4"/>
      <c r="Q33" s="4"/>
      <c r="R33" s="4"/>
      <c r="S33" s="4"/>
      <c r="T33" s="4"/>
      <c r="U33" s="4"/>
      <c r="V33" s="4"/>
      <c r="W33" s="4"/>
      <c r="X33" s="4"/>
    </row>
    <row r="34" spans="1:24" ht="12.75">
      <c r="A34" s="4"/>
      <c r="B34" s="12"/>
      <c r="C34" s="94" t="s">
        <v>13</v>
      </c>
      <c r="D34" s="167">
        <f>D21+D32</f>
        <v>1273867</v>
      </c>
      <c r="E34" s="161"/>
      <c r="F34" s="167">
        <f>F21+F32</f>
        <v>1322075</v>
      </c>
      <c r="G34" s="161"/>
      <c r="H34" s="167">
        <f>H21+H32</f>
        <v>1066895</v>
      </c>
      <c r="I34" s="4"/>
      <c r="J34" s="12"/>
      <c r="K34" s="4"/>
      <c r="L34" s="4"/>
      <c r="M34" s="4"/>
      <c r="N34" s="4"/>
      <c r="O34" s="4"/>
      <c r="P34" s="4"/>
      <c r="Q34" s="4"/>
      <c r="R34" s="4"/>
      <c r="S34" s="4"/>
      <c r="T34" s="4"/>
      <c r="U34" s="4"/>
      <c r="V34" s="4"/>
      <c r="W34" s="4"/>
      <c r="X34" s="4"/>
    </row>
    <row r="35" spans="1:24" ht="12.75">
      <c r="A35" s="4"/>
      <c r="B35" s="12"/>
      <c r="C35" s="94" t="s">
        <v>14</v>
      </c>
      <c r="D35" s="161">
        <f>D12-D34</f>
        <v>97533</v>
      </c>
      <c r="E35" s="161"/>
      <c r="F35" s="161">
        <f>F12-F34</f>
        <v>315925</v>
      </c>
      <c r="G35" s="161"/>
      <c r="H35" s="161">
        <f>H12-H34</f>
        <v>124105</v>
      </c>
      <c r="I35" s="4"/>
      <c r="J35" s="12"/>
      <c r="K35" s="4"/>
      <c r="L35" s="4"/>
      <c r="M35" s="4"/>
      <c r="N35" s="4"/>
      <c r="O35" s="4"/>
      <c r="P35" s="4"/>
      <c r="Q35" s="4"/>
      <c r="R35" s="4"/>
      <c r="S35" s="4"/>
      <c r="T35" s="4"/>
      <c r="U35" s="4"/>
      <c r="V35" s="4"/>
      <c r="W35" s="4"/>
      <c r="X35" s="4"/>
    </row>
    <row r="36" spans="1:24" ht="12.75">
      <c r="A36" s="4"/>
      <c r="B36" s="12"/>
      <c r="C36" s="94"/>
      <c r="D36" s="161"/>
      <c r="E36" s="161"/>
      <c r="F36" s="161"/>
      <c r="G36" s="161"/>
      <c r="H36" s="111"/>
      <c r="I36" s="4"/>
      <c r="J36" s="12"/>
      <c r="K36" s="4"/>
      <c r="L36" s="4"/>
      <c r="M36" s="4"/>
      <c r="N36" s="4"/>
      <c r="O36" s="4"/>
      <c r="P36" s="4"/>
      <c r="Q36" s="4"/>
      <c r="R36" s="4"/>
      <c r="S36" s="4"/>
      <c r="T36" s="4"/>
      <c r="U36" s="4"/>
      <c r="V36" s="4"/>
      <c r="W36" s="4"/>
      <c r="X36" s="4"/>
    </row>
    <row r="37" spans="1:24" ht="12.75">
      <c r="A37" s="4"/>
      <c r="B37" s="12"/>
      <c r="C37" s="94" t="s">
        <v>15</v>
      </c>
      <c r="D37" s="161"/>
      <c r="E37" s="161"/>
      <c r="F37" s="161"/>
      <c r="G37" s="161"/>
      <c r="H37" s="111"/>
      <c r="I37" s="4"/>
      <c r="J37" s="12"/>
      <c r="K37" s="4"/>
      <c r="L37" s="4"/>
      <c r="M37" s="4"/>
      <c r="N37" s="4"/>
      <c r="O37" s="4"/>
      <c r="P37" s="4"/>
      <c r="Q37" s="4"/>
      <c r="R37" s="4"/>
      <c r="S37" s="4"/>
      <c r="T37" s="4"/>
      <c r="U37" s="4"/>
      <c r="V37" s="4"/>
      <c r="W37" s="4"/>
      <c r="X37" s="4"/>
    </row>
    <row r="38" spans="1:24" ht="12.75">
      <c r="A38" s="4"/>
      <c r="B38" s="12"/>
      <c r="C38" s="94" t="s">
        <v>16</v>
      </c>
      <c r="D38" s="161">
        <v>5600</v>
      </c>
      <c r="E38" s="161"/>
      <c r="F38" s="161">
        <v>5800</v>
      </c>
      <c r="G38" s="161"/>
      <c r="H38" s="111">
        <v>4200</v>
      </c>
      <c r="I38" s="4"/>
      <c r="J38" s="12"/>
      <c r="K38" s="4"/>
      <c r="L38" s="4"/>
      <c r="M38" s="4"/>
      <c r="N38" s="4"/>
      <c r="O38" s="4"/>
      <c r="P38" s="4"/>
      <c r="Q38" s="4"/>
      <c r="R38" s="4"/>
      <c r="S38" s="4"/>
      <c r="T38" s="4"/>
      <c r="U38" s="4"/>
      <c r="V38" s="4"/>
      <c r="W38" s="4"/>
      <c r="X38" s="4"/>
    </row>
    <row r="39" spans="1:24" ht="12.75">
      <c r="A39" s="4"/>
      <c r="B39" s="12"/>
      <c r="C39" s="94" t="s">
        <v>17</v>
      </c>
      <c r="D39" s="167">
        <v>-55000</v>
      </c>
      <c r="E39" s="161"/>
      <c r="F39" s="167">
        <v>-60000</v>
      </c>
      <c r="G39" s="161"/>
      <c r="H39" s="143">
        <v>-65000</v>
      </c>
      <c r="I39" s="4"/>
      <c r="J39" s="12"/>
      <c r="K39" s="4"/>
      <c r="L39" s="4"/>
      <c r="M39" s="4"/>
      <c r="N39" s="4"/>
      <c r="O39" s="4"/>
      <c r="P39" s="4"/>
      <c r="Q39" s="4"/>
      <c r="R39" s="4"/>
      <c r="S39" s="4"/>
      <c r="T39" s="4"/>
      <c r="U39" s="4"/>
      <c r="V39" s="4"/>
      <c r="W39" s="4"/>
      <c r="X39" s="4"/>
    </row>
    <row r="40" spans="1:24" ht="12.75">
      <c r="A40" s="4"/>
      <c r="B40" s="12"/>
      <c r="C40" s="94" t="s">
        <v>18</v>
      </c>
      <c r="D40" s="167">
        <f>D38+D39</f>
        <v>-49400</v>
      </c>
      <c r="E40" s="161"/>
      <c r="F40" s="167">
        <f>F38+F39</f>
        <v>-54200</v>
      </c>
      <c r="G40" s="161"/>
      <c r="H40" s="260">
        <f>H38+H39</f>
        <v>-60800</v>
      </c>
      <c r="I40" s="4"/>
      <c r="J40" s="12"/>
      <c r="K40" s="4"/>
      <c r="L40" s="4"/>
      <c r="M40" s="4"/>
      <c r="N40" s="4"/>
      <c r="O40" s="4"/>
      <c r="P40" s="4"/>
      <c r="Q40" s="4"/>
      <c r="R40" s="4"/>
      <c r="S40" s="4"/>
      <c r="T40" s="4"/>
      <c r="U40" s="4"/>
      <c r="V40" s="4"/>
      <c r="W40" s="4"/>
      <c r="X40" s="4"/>
    </row>
    <row r="41" spans="1:24" ht="12.75">
      <c r="A41" s="4"/>
      <c r="B41" s="12"/>
      <c r="C41" s="94" t="s">
        <v>19</v>
      </c>
      <c r="D41" s="161">
        <f>D35+D40</f>
        <v>48133</v>
      </c>
      <c r="E41" s="161"/>
      <c r="F41" s="161">
        <f>F35+F40</f>
        <v>261725</v>
      </c>
      <c r="G41" s="161"/>
      <c r="H41" s="161">
        <f>H35+H40</f>
        <v>63305</v>
      </c>
      <c r="I41" s="4"/>
      <c r="J41" s="12"/>
      <c r="K41" s="4"/>
      <c r="L41" s="4"/>
      <c r="M41" s="4"/>
      <c r="N41" s="4"/>
      <c r="O41" s="4"/>
      <c r="P41" s="4"/>
      <c r="Q41" s="4"/>
      <c r="R41" s="4"/>
      <c r="S41" s="4"/>
      <c r="T41" s="4"/>
      <c r="U41" s="4"/>
      <c r="V41" s="4"/>
      <c r="W41" s="4"/>
      <c r="X41" s="4"/>
    </row>
    <row r="42" spans="1:24" ht="12.75">
      <c r="A42" s="4"/>
      <c r="B42" s="12"/>
      <c r="C42" s="93"/>
      <c r="D42" s="161"/>
      <c r="E42" s="161"/>
      <c r="F42" s="161"/>
      <c r="G42" s="161"/>
      <c r="H42" s="111"/>
      <c r="I42" s="4"/>
      <c r="J42" s="12"/>
      <c r="K42" s="4"/>
      <c r="L42" s="4"/>
      <c r="M42" s="4"/>
      <c r="N42" s="4"/>
      <c r="O42" s="4"/>
      <c r="P42" s="4"/>
      <c r="Q42" s="4"/>
      <c r="R42" s="4"/>
      <c r="S42" s="4"/>
      <c r="T42" s="4"/>
      <c r="U42" s="4"/>
      <c r="V42" s="4"/>
      <c r="W42" s="4"/>
      <c r="X42" s="4"/>
    </row>
    <row r="43" spans="1:24" ht="12.75">
      <c r="A43" s="4"/>
      <c r="B43" s="12"/>
      <c r="C43" s="94" t="s">
        <v>20</v>
      </c>
      <c r="D43" s="165">
        <f>D41*0.25</f>
        <v>12033.25</v>
      </c>
      <c r="E43" s="165"/>
      <c r="F43" s="165">
        <f>F41*0.25</f>
        <v>65431.25</v>
      </c>
      <c r="G43" s="165"/>
      <c r="H43" s="165">
        <f>H41*0.25</f>
        <v>15826.25</v>
      </c>
      <c r="I43" s="4"/>
      <c r="J43" s="12"/>
      <c r="K43" s="4"/>
      <c r="L43" s="4"/>
      <c r="M43" s="4"/>
      <c r="N43" s="4"/>
      <c r="O43" s="4"/>
      <c r="P43" s="4"/>
      <c r="Q43" s="4"/>
      <c r="R43" s="4"/>
      <c r="S43" s="4"/>
      <c r="T43" s="4"/>
      <c r="U43" s="4"/>
      <c r="V43" s="4"/>
      <c r="W43" s="4"/>
      <c r="X43" s="4"/>
    </row>
    <row r="44" spans="1:24" ht="13.5" thickBot="1">
      <c r="A44" s="4"/>
      <c r="B44" s="12"/>
      <c r="C44" s="94" t="s">
        <v>21</v>
      </c>
      <c r="D44" s="170">
        <f>D41-D43</f>
        <v>36099.75</v>
      </c>
      <c r="E44" s="165"/>
      <c r="F44" s="170">
        <f>F41-F43</f>
        <v>196293.75</v>
      </c>
      <c r="G44" s="165"/>
      <c r="H44" s="170">
        <f>H41-H43</f>
        <v>47478.75</v>
      </c>
      <c r="I44" s="4"/>
      <c r="J44" s="12"/>
      <c r="K44" s="4"/>
      <c r="L44" s="4"/>
      <c r="M44" s="4"/>
      <c r="N44" s="4"/>
      <c r="O44" s="4"/>
      <c r="P44" s="4"/>
      <c r="Q44" s="4"/>
      <c r="R44" s="4"/>
      <c r="S44" s="4"/>
      <c r="T44" s="4"/>
      <c r="U44" s="4"/>
      <c r="V44" s="4"/>
      <c r="W44" s="4"/>
      <c r="X44" s="4"/>
    </row>
    <row r="45" spans="1:24" ht="13.5" thickTop="1">
      <c r="A45" s="4"/>
      <c r="B45" s="12"/>
      <c r="C45" s="4"/>
      <c r="D45" s="4"/>
      <c r="E45" s="4"/>
      <c r="F45" s="4"/>
      <c r="G45" s="4"/>
      <c r="H45" s="4"/>
      <c r="I45" s="4"/>
      <c r="J45" s="12"/>
      <c r="K45" s="4"/>
      <c r="L45" s="4"/>
      <c r="M45" s="4"/>
      <c r="N45" s="4"/>
      <c r="O45" s="4"/>
      <c r="P45" s="4"/>
      <c r="Q45" s="4"/>
      <c r="R45" s="4"/>
      <c r="S45" s="4"/>
      <c r="T45" s="4"/>
      <c r="U45" s="4"/>
      <c r="V45" s="4"/>
      <c r="W45" s="4"/>
      <c r="X45" s="4"/>
    </row>
    <row r="46" spans="1:24" ht="12.75">
      <c r="A46" s="4"/>
      <c r="B46" s="12"/>
      <c r="C46" s="12"/>
      <c r="D46" s="12"/>
      <c r="E46" s="12"/>
      <c r="F46" s="12"/>
      <c r="G46" s="12"/>
      <c r="H46" s="12"/>
      <c r="I46" s="12"/>
      <c r="J46" s="12"/>
      <c r="K46" s="4"/>
      <c r="L46" s="4"/>
      <c r="M46" s="4"/>
      <c r="N46" s="4"/>
      <c r="O46" s="4"/>
      <c r="P46" s="4"/>
      <c r="Q46" s="4"/>
      <c r="R46" s="4"/>
      <c r="S46" s="4"/>
      <c r="T46" s="4"/>
      <c r="U46" s="4"/>
      <c r="V46" s="4"/>
      <c r="W46" s="4"/>
      <c r="X46" s="4"/>
    </row>
    <row r="47" spans="1:24" ht="12.75">
      <c r="A47" s="4"/>
      <c r="B47" s="4"/>
      <c r="C47" s="4"/>
      <c r="D47" s="4"/>
      <c r="E47" s="4"/>
      <c r="F47" s="4"/>
      <c r="G47" s="4"/>
      <c r="H47" s="4"/>
      <c r="I47" s="4"/>
      <c r="J47" s="4"/>
      <c r="K47" s="4"/>
      <c r="L47" s="4"/>
      <c r="M47" s="4"/>
      <c r="N47" s="4"/>
      <c r="O47" s="4"/>
      <c r="P47" s="4"/>
      <c r="Q47" s="4"/>
      <c r="R47" s="4"/>
      <c r="S47" s="4"/>
      <c r="T47" s="4"/>
      <c r="U47" s="4"/>
      <c r="V47" s="4"/>
      <c r="W47" s="4"/>
      <c r="X47" s="4"/>
    </row>
    <row r="48" spans="1:24" ht="12.75">
      <c r="A48" s="4"/>
      <c r="B48" s="4"/>
      <c r="C48" s="4"/>
      <c r="D48" s="4"/>
      <c r="E48" s="4"/>
      <c r="F48" s="4"/>
      <c r="G48" s="4"/>
      <c r="H48" s="4"/>
      <c r="I48" s="4"/>
      <c r="J48" s="4"/>
      <c r="K48" s="4"/>
      <c r="L48" s="4"/>
      <c r="M48" s="4"/>
      <c r="N48" s="4"/>
      <c r="O48" s="4"/>
      <c r="P48" s="4"/>
      <c r="Q48" s="4"/>
      <c r="R48" s="4"/>
      <c r="S48" s="4"/>
      <c r="T48" s="4"/>
      <c r="U48" s="4"/>
      <c r="V48" s="4"/>
      <c r="W48" s="4"/>
      <c r="X48" s="4"/>
    </row>
    <row r="49" spans="1:24" ht="12.75">
      <c r="A49" s="4"/>
      <c r="B49" s="4"/>
      <c r="C49" s="4"/>
      <c r="D49" s="4"/>
      <c r="E49" s="4"/>
      <c r="F49" s="4"/>
      <c r="G49" s="4"/>
      <c r="H49" s="4"/>
      <c r="I49" s="4"/>
      <c r="J49" s="4"/>
      <c r="K49" s="4"/>
      <c r="L49" s="4"/>
      <c r="M49" s="4"/>
      <c r="N49" s="4"/>
      <c r="O49" s="4"/>
      <c r="P49" s="4"/>
      <c r="Q49" s="4"/>
      <c r="R49" s="4"/>
      <c r="S49" s="4"/>
      <c r="T49" s="4"/>
      <c r="U49" s="4"/>
      <c r="V49" s="4"/>
      <c r="W49" s="4"/>
      <c r="X49" s="4"/>
    </row>
    <row r="50" spans="1:24" ht="12.75">
      <c r="A50" s="4"/>
      <c r="B50" s="4"/>
      <c r="C50" s="4"/>
      <c r="D50" s="4"/>
      <c r="E50" s="4"/>
      <c r="F50" s="4"/>
      <c r="G50" s="4"/>
      <c r="H50" s="4"/>
      <c r="I50" s="4"/>
      <c r="J50" s="4"/>
      <c r="K50" s="4"/>
      <c r="L50" s="4"/>
      <c r="M50" s="4"/>
      <c r="N50" s="4"/>
      <c r="O50" s="4"/>
      <c r="P50" s="4"/>
      <c r="Q50" s="4"/>
      <c r="R50" s="4"/>
      <c r="S50" s="4"/>
      <c r="T50" s="4"/>
      <c r="U50" s="4"/>
      <c r="V50" s="4"/>
      <c r="W50" s="4"/>
      <c r="X50" s="4"/>
    </row>
    <row r="51" spans="1:24" ht="12.75">
      <c r="A51" s="4"/>
      <c r="B51" s="4"/>
      <c r="C51" s="4"/>
      <c r="D51" s="4"/>
      <c r="E51" s="4"/>
      <c r="F51" s="4"/>
      <c r="G51" s="4"/>
      <c r="H51" s="4"/>
      <c r="I51" s="4"/>
      <c r="J51" s="4"/>
      <c r="K51" s="4"/>
      <c r="L51" s="4"/>
      <c r="M51" s="4"/>
      <c r="N51" s="4"/>
      <c r="O51" s="4"/>
      <c r="P51" s="4"/>
      <c r="Q51" s="4"/>
      <c r="R51" s="4"/>
      <c r="S51" s="4"/>
      <c r="T51" s="4"/>
      <c r="U51" s="4"/>
      <c r="V51" s="4"/>
      <c r="W51" s="4"/>
      <c r="X51" s="4"/>
    </row>
    <row r="52" spans="1:24" ht="12.75">
      <c r="A52" s="4"/>
      <c r="B52" s="4"/>
      <c r="C52" s="4"/>
      <c r="D52" s="4"/>
      <c r="E52" s="4"/>
      <c r="F52" s="4"/>
      <c r="G52" s="4"/>
      <c r="H52" s="4"/>
      <c r="I52" s="4"/>
      <c r="J52" s="4"/>
      <c r="K52" s="4"/>
      <c r="L52" s="4"/>
      <c r="M52" s="4"/>
      <c r="N52" s="4"/>
      <c r="O52" s="4"/>
      <c r="P52" s="4"/>
      <c r="Q52" s="4"/>
      <c r="R52" s="4"/>
      <c r="S52" s="4"/>
      <c r="T52" s="4"/>
      <c r="U52" s="4"/>
      <c r="V52" s="4"/>
      <c r="W52" s="4"/>
      <c r="X52" s="4"/>
    </row>
    <row r="53" spans="1:24" ht="12.75">
      <c r="A53" s="4"/>
      <c r="B53" s="4"/>
      <c r="C53" s="4"/>
      <c r="D53" s="4"/>
      <c r="E53" s="4"/>
      <c r="F53" s="4"/>
      <c r="G53" s="4"/>
      <c r="H53" s="4"/>
      <c r="I53" s="4"/>
      <c r="J53" s="4"/>
      <c r="K53" s="4"/>
      <c r="L53" s="4"/>
      <c r="M53" s="4"/>
      <c r="N53" s="4"/>
      <c r="O53" s="4"/>
      <c r="P53" s="4"/>
      <c r="Q53" s="4"/>
      <c r="R53" s="4"/>
      <c r="S53" s="4"/>
      <c r="T53" s="4"/>
      <c r="U53" s="4"/>
      <c r="V53" s="4"/>
      <c r="W53" s="4"/>
      <c r="X53" s="4"/>
    </row>
    <row r="54" spans="1:24" ht="12.75">
      <c r="A54" s="4"/>
      <c r="B54" s="4"/>
      <c r="C54" s="4"/>
      <c r="D54" s="4"/>
      <c r="E54" s="4"/>
      <c r="F54" s="4"/>
      <c r="G54" s="4"/>
      <c r="H54" s="4"/>
      <c r="I54" s="4"/>
      <c r="J54" s="4"/>
      <c r="K54" s="4"/>
      <c r="L54" s="4"/>
      <c r="M54" s="4"/>
      <c r="N54" s="4"/>
      <c r="O54" s="4"/>
      <c r="P54" s="4"/>
      <c r="Q54" s="4"/>
      <c r="R54" s="4"/>
      <c r="S54" s="4"/>
      <c r="T54" s="4"/>
      <c r="U54" s="4"/>
      <c r="V54" s="4"/>
      <c r="W54" s="4"/>
      <c r="X54" s="4"/>
    </row>
    <row r="55" spans="1:24" ht="12.75">
      <c r="A55" s="4"/>
      <c r="B55" s="4"/>
      <c r="C55" s="4"/>
      <c r="D55" s="4"/>
      <c r="E55" s="4"/>
      <c r="F55" s="4"/>
      <c r="G55" s="4"/>
      <c r="H55" s="4"/>
      <c r="I55" s="4"/>
      <c r="J55" s="4"/>
      <c r="K55" s="4"/>
      <c r="L55" s="4"/>
      <c r="M55" s="4"/>
      <c r="N55" s="4"/>
      <c r="O55" s="4"/>
      <c r="P55" s="4"/>
      <c r="Q55" s="4"/>
      <c r="R55" s="4"/>
      <c r="S55" s="4"/>
      <c r="T55" s="4"/>
      <c r="U55" s="4"/>
      <c r="V55" s="4"/>
      <c r="W55" s="4"/>
      <c r="X55" s="4"/>
    </row>
    <row r="56" spans="1:24" ht="12.75">
      <c r="A56" s="4"/>
      <c r="B56" s="4"/>
      <c r="C56" s="4"/>
      <c r="D56" s="4"/>
      <c r="E56" s="4"/>
      <c r="F56" s="4"/>
      <c r="G56" s="4"/>
      <c r="H56" s="4"/>
      <c r="I56" s="4"/>
      <c r="J56" s="4"/>
      <c r="K56" s="4"/>
      <c r="L56" s="4"/>
      <c r="M56" s="4"/>
      <c r="N56" s="4"/>
      <c r="O56" s="4"/>
      <c r="P56" s="4"/>
      <c r="Q56" s="4"/>
      <c r="R56" s="4"/>
      <c r="S56" s="4"/>
      <c r="T56" s="4"/>
      <c r="U56" s="4"/>
      <c r="V56" s="4"/>
      <c r="W56" s="4"/>
      <c r="X56" s="4"/>
    </row>
    <row r="57" spans="1:24" ht="12.75">
      <c r="A57" s="4"/>
      <c r="B57" s="4"/>
      <c r="C57" s="4"/>
      <c r="D57" s="4"/>
      <c r="E57" s="4"/>
      <c r="F57" s="4"/>
      <c r="G57" s="4"/>
      <c r="H57" s="4"/>
      <c r="I57" s="4"/>
      <c r="J57" s="4"/>
      <c r="K57" s="4"/>
      <c r="L57" s="4"/>
      <c r="M57" s="4"/>
      <c r="N57" s="4"/>
      <c r="O57" s="4"/>
      <c r="P57" s="4"/>
      <c r="Q57" s="4"/>
      <c r="R57" s="4"/>
      <c r="S57" s="4"/>
      <c r="T57" s="4"/>
      <c r="U57" s="4"/>
      <c r="V57" s="4"/>
      <c r="W57" s="4"/>
      <c r="X57" s="4"/>
    </row>
    <row r="58" spans="1:24" ht="12.75">
      <c r="A58" s="4"/>
      <c r="B58" s="4"/>
      <c r="C58" s="4"/>
      <c r="D58" s="4"/>
      <c r="E58" s="4"/>
      <c r="F58" s="4"/>
      <c r="G58" s="4"/>
      <c r="H58" s="4"/>
      <c r="I58" s="4"/>
      <c r="J58" s="4"/>
      <c r="K58" s="4"/>
      <c r="L58" s="4"/>
      <c r="M58" s="4"/>
      <c r="N58" s="4"/>
      <c r="O58" s="4"/>
      <c r="P58" s="4"/>
      <c r="Q58" s="4"/>
      <c r="R58" s="4"/>
      <c r="S58" s="4"/>
      <c r="T58" s="4"/>
      <c r="U58" s="4"/>
      <c r="V58" s="4"/>
      <c r="W58" s="4"/>
      <c r="X58" s="4"/>
    </row>
    <row r="59" spans="1:24" ht="12.75">
      <c r="A59" s="4"/>
      <c r="B59" s="4"/>
      <c r="C59" s="4"/>
      <c r="D59" s="4"/>
      <c r="E59" s="4"/>
      <c r="F59" s="4"/>
      <c r="G59" s="4"/>
      <c r="H59" s="4"/>
      <c r="I59" s="4"/>
      <c r="J59" s="4"/>
      <c r="K59" s="4"/>
      <c r="L59" s="4"/>
      <c r="M59" s="4"/>
      <c r="N59" s="4"/>
      <c r="O59" s="4"/>
      <c r="P59" s="4"/>
      <c r="Q59" s="4"/>
      <c r="R59" s="4"/>
      <c r="S59" s="4"/>
      <c r="T59" s="4"/>
      <c r="U59" s="4"/>
      <c r="V59" s="4"/>
      <c r="W59" s="4"/>
      <c r="X59" s="4"/>
    </row>
    <row r="60" spans="1:24" ht="12.75">
      <c r="A60" s="4"/>
      <c r="B60" s="4"/>
      <c r="C60" s="4"/>
      <c r="D60" s="4"/>
      <c r="E60" s="4"/>
      <c r="F60" s="4"/>
      <c r="G60" s="4"/>
      <c r="H60" s="4"/>
      <c r="I60" s="4"/>
      <c r="J60" s="4"/>
      <c r="K60" s="4"/>
      <c r="L60" s="4"/>
      <c r="M60" s="4"/>
      <c r="N60" s="4"/>
      <c r="O60" s="4"/>
      <c r="P60" s="4"/>
      <c r="Q60" s="4"/>
      <c r="R60" s="4"/>
      <c r="S60" s="4"/>
      <c r="T60" s="4"/>
      <c r="U60" s="4"/>
      <c r="V60" s="4"/>
      <c r="W60" s="4"/>
      <c r="X60" s="4"/>
    </row>
    <row r="61" spans="1:24" ht="12.75">
      <c r="A61" s="4"/>
      <c r="B61" s="4"/>
      <c r="C61" s="4"/>
      <c r="D61" s="4"/>
      <c r="E61" s="4"/>
      <c r="F61" s="4"/>
      <c r="G61" s="4"/>
      <c r="H61" s="4"/>
      <c r="I61" s="4"/>
      <c r="J61" s="4"/>
      <c r="K61" s="4"/>
      <c r="L61" s="4"/>
      <c r="M61" s="4"/>
      <c r="N61" s="4"/>
      <c r="O61" s="4"/>
      <c r="P61" s="4"/>
      <c r="Q61" s="4"/>
      <c r="R61" s="4"/>
      <c r="S61" s="4"/>
      <c r="T61" s="4"/>
      <c r="U61" s="4"/>
      <c r="V61" s="4"/>
      <c r="W61" s="4"/>
      <c r="X61" s="4"/>
    </row>
    <row r="62" spans="1:24" ht="12.75">
      <c r="A62" s="4"/>
      <c r="B62" s="4"/>
      <c r="C62" s="4"/>
      <c r="D62" s="4"/>
      <c r="E62" s="4"/>
      <c r="F62" s="4"/>
      <c r="G62" s="4"/>
      <c r="H62" s="4"/>
      <c r="I62" s="4"/>
      <c r="J62" s="4"/>
      <c r="K62" s="4"/>
      <c r="L62" s="4"/>
      <c r="M62" s="4"/>
      <c r="N62" s="4"/>
      <c r="O62" s="4"/>
      <c r="P62" s="4"/>
      <c r="Q62" s="4"/>
      <c r="R62" s="4"/>
      <c r="S62" s="4"/>
      <c r="T62" s="4"/>
      <c r="U62" s="4"/>
      <c r="V62" s="4"/>
      <c r="W62" s="4"/>
      <c r="X62" s="4"/>
    </row>
    <row r="63" spans="1:24" ht="12.75">
      <c r="A63" s="4"/>
      <c r="B63" s="4"/>
      <c r="C63" s="4"/>
      <c r="D63" s="4"/>
      <c r="E63" s="4"/>
      <c r="F63" s="4"/>
      <c r="G63" s="4"/>
      <c r="H63" s="4"/>
      <c r="I63" s="4"/>
      <c r="J63" s="4"/>
      <c r="K63" s="4"/>
      <c r="L63" s="4"/>
      <c r="M63" s="4"/>
      <c r="N63" s="4"/>
      <c r="O63" s="4"/>
      <c r="P63" s="4"/>
      <c r="Q63" s="4"/>
      <c r="R63" s="4"/>
      <c r="S63" s="4"/>
      <c r="T63" s="4"/>
      <c r="U63" s="4"/>
      <c r="V63" s="4"/>
      <c r="W63" s="4"/>
      <c r="X63" s="4"/>
    </row>
    <row r="64" spans="1:24" ht="12.75">
      <c r="A64" s="4"/>
      <c r="B64" s="4"/>
      <c r="C64" s="4"/>
      <c r="D64" s="4"/>
      <c r="E64" s="4"/>
      <c r="F64" s="4"/>
      <c r="G64" s="4"/>
      <c r="H64" s="4"/>
      <c r="I64" s="4"/>
      <c r="J64" s="4"/>
      <c r="K64" s="4"/>
      <c r="L64" s="4"/>
      <c r="M64" s="4"/>
      <c r="N64" s="4"/>
      <c r="O64" s="4"/>
      <c r="P64" s="4"/>
      <c r="Q64" s="4"/>
      <c r="R64" s="4"/>
      <c r="S64" s="4"/>
      <c r="T64" s="4"/>
      <c r="U64" s="4"/>
      <c r="V64" s="4"/>
      <c r="W64" s="4"/>
      <c r="X64" s="4"/>
    </row>
    <row r="65" spans="1:24" ht="12.75">
      <c r="A65" s="4"/>
      <c r="B65" s="4"/>
      <c r="C65" s="4"/>
      <c r="D65" s="4"/>
      <c r="E65" s="4"/>
      <c r="F65" s="4"/>
      <c r="G65" s="4"/>
      <c r="H65" s="4"/>
      <c r="I65" s="4"/>
      <c r="J65" s="4"/>
      <c r="K65" s="4"/>
      <c r="L65" s="4"/>
      <c r="M65" s="4"/>
      <c r="N65" s="4"/>
      <c r="O65" s="4"/>
      <c r="P65" s="4"/>
      <c r="Q65" s="4"/>
      <c r="R65" s="4"/>
      <c r="S65" s="4"/>
      <c r="T65" s="4"/>
      <c r="U65" s="4"/>
      <c r="V65" s="4"/>
      <c r="W65" s="4"/>
      <c r="X65" s="4"/>
    </row>
    <row r="66" spans="1:24" ht="12.75">
      <c r="A66" s="4"/>
      <c r="B66" s="4"/>
      <c r="C66" s="4"/>
      <c r="D66" s="4"/>
      <c r="E66" s="4"/>
      <c r="F66" s="4"/>
      <c r="G66" s="4"/>
      <c r="H66" s="4"/>
      <c r="I66" s="4"/>
      <c r="J66" s="4"/>
      <c r="K66" s="4"/>
      <c r="L66" s="4"/>
      <c r="M66" s="4"/>
      <c r="N66" s="4"/>
      <c r="O66" s="4"/>
      <c r="P66" s="4"/>
      <c r="Q66" s="4"/>
      <c r="R66" s="4"/>
      <c r="S66" s="4"/>
      <c r="T66" s="4"/>
      <c r="U66" s="4"/>
      <c r="V66" s="4"/>
      <c r="W66" s="4"/>
      <c r="X66" s="4"/>
    </row>
    <row r="67" spans="1:24" ht="12.75">
      <c r="A67" s="4"/>
      <c r="B67" s="4"/>
      <c r="C67" s="4"/>
      <c r="D67" s="4"/>
      <c r="E67" s="4"/>
      <c r="F67" s="4"/>
      <c r="G67" s="4"/>
      <c r="H67" s="4"/>
      <c r="I67" s="4"/>
      <c r="J67" s="4"/>
      <c r="K67" s="4"/>
      <c r="L67" s="4"/>
      <c r="M67" s="4"/>
      <c r="N67" s="4"/>
      <c r="O67" s="4"/>
      <c r="P67" s="4"/>
      <c r="Q67" s="4"/>
      <c r="R67" s="4"/>
      <c r="S67" s="4"/>
      <c r="T67" s="4"/>
      <c r="U67" s="4"/>
      <c r="V67" s="4"/>
      <c r="W67" s="4"/>
      <c r="X67" s="4"/>
    </row>
    <row r="68" spans="1:24" ht="12.75">
      <c r="A68" s="4"/>
      <c r="B68" s="4"/>
      <c r="C68" s="4"/>
      <c r="D68" s="4"/>
      <c r="E68" s="4"/>
      <c r="F68" s="4"/>
      <c r="G68" s="4"/>
      <c r="H68" s="4"/>
      <c r="I68" s="4"/>
      <c r="J68" s="4"/>
      <c r="K68" s="4"/>
      <c r="L68" s="4"/>
      <c r="M68" s="4"/>
      <c r="N68" s="4"/>
      <c r="O68" s="4"/>
      <c r="P68" s="4"/>
      <c r="Q68" s="4"/>
      <c r="R68" s="4"/>
      <c r="S68" s="4"/>
      <c r="T68" s="4"/>
      <c r="U68" s="4"/>
      <c r="V68" s="4"/>
      <c r="W68" s="4"/>
      <c r="X68" s="4"/>
    </row>
    <row r="69" spans="1:24" ht="12.75">
      <c r="A69" s="4"/>
      <c r="B69" s="4"/>
      <c r="C69" s="4"/>
      <c r="D69" s="4"/>
      <c r="E69" s="4"/>
      <c r="F69" s="4"/>
      <c r="G69" s="4"/>
      <c r="H69" s="4"/>
      <c r="I69" s="4"/>
      <c r="J69" s="4"/>
      <c r="K69" s="4"/>
      <c r="L69" s="4"/>
      <c r="M69" s="4"/>
      <c r="N69" s="4"/>
      <c r="O69" s="4"/>
      <c r="P69" s="4"/>
      <c r="Q69" s="4"/>
      <c r="R69" s="4"/>
      <c r="S69" s="4"/>
      <c r="T69" s="4"/>
      <c r="U69" s="4"/>
      <c r="V69" s="4"/>
      <c r="W69" s="4"/>
      <c r="X69" s="4"/>
    </row>
    <row r="70" spans="1:24" ht="12.75">
      <c r="A70" s="4"/>
      <c r="B70" s="4"/>
      <c r="C70" s="4"/>
      <c r="D70" s="4"/>
      <c r="E70" s="4"/>
      <c r="F70" s="4"/>
      <c r="G70" s="4"/>
      <c r="H70" s="4"/>
      <c r="I70" s="4"/>
      <c r="J70" s="4"/>
      <c r="K70" s="4"/>
      <c r="L70" s="4"/>
      <c r="M70" s="4"/>
      <c r="N70" s="4"/>
      <c r="O70" s="4"/>
      <c r="P70" s="4"/>
      <c r="Q70" s="4"/>
      <c r="R70" s="4"/>
      <c r="S70" s="4"/>
      <c r="T70" s="4"/>
      <c r="U70" s="4"/>
      <c r="V70" s="4"/>
      <c r="W70" s="4"/>
      <c r="X70" s="4"/>
    </row>
    <row r="71" spans="1:24" ht="12.75">
      <c r="A71" s="4"/>
      <c r="B71" s="4"/>
      <c r="C71" s="4"/>
      <c r="D71" s="4"/>
      <c r="E71" s="4"/>
      <c r="F71" s="4"/>
      <c r="G71" s="4"/>
      <c r="H71" s="4"/>
      <c r="I71" s="4"/>
      <c r="J71" s="4"/>
      <c r="K71" s="4"/>
      <c r="L71" s="4"/>
      <c r="M71" s="4"/>
      <c r="N71" s="4"/>
      <c r="O71" s="4"/>
      <c r="P71" s="4"/>
      <c r="Q71" s="4"/>
      <c r="R71" s="4"/>
      <c r="S71" s="4"/>
      <c r="T71" s="4"/>
      <c r="U71" s="4"/>
      <c r="V71" s="4"/>
      <c r="W71" s="4"/>
      <c r="X71" s="4"/>
    </row>
    <row r="72" spans="1:24" ht="12.75">
      <c r="A72" s="4"/>
      <c r="B72" s="4"/>
      <c r="C72" s="4"/>
      <c r="D72" s="4"/>
      <c r="E72" s="4"/>
      <c r="F72" s="4"/>
      <c r="G72" s="4"/>
      <c r="H72" s="4"/>
      <c r="I72" s="4"/>
      <c r="J72" s="4"/>
      <c r="K72" s="4"/>
      <c r="L72" s="4"/>
      <c r="M72" s="4"/>
      <c r="N72" s="4"/>
      <c r="O72" s="4"/>
      <c r="P72" s="4"/>
      <c r="Q72" s="4"/>
      <c r="R72" s="4"/>
      <c r="S72" s="4"/>
      <c r="T72" s="4"/>
      <c r="U72" s="4"/>
      <c r="V72" s="4"/>
      <c r="W72" s="4"/>
      <c r="X72" s="4"/>
    </row>
    <row r="73" spans="1:24" ht="12.75">
      <c r="A73" s="4"/>
      <c r="B73" s="4"/>
      <c r="C73" s="4"/>
      <c r="D73" s="4"/>
      <c r="E73" s="4"/>
      <c r="F73" s="4"/>
      <c r="G73" s="4"/>
      <c r="H73" s="4"/>
      <c r="I73" s="4"/>
      <c r="J73" s="4"/>
      <c r="K73" s="4"/>
      <c r="L73" s="4"/>
      <c r="M73" s="4"/>
      <c r="N73" s="4"/>
      <c r="O73" s="4"/>
      <c r="P73" s="4"/>
      <c r="Q73" s="4"/>
      <c r="R73" s="4"/>
      <c r="S73" s="4"/>
      <c r="T73" s="4"/>
      <c r="U73" s="4"/>
      <c r="V73" s="4"/>
      <c r="W73" s="4"/>
      <c r="X73" s="4"/>
    </row>
    <row r="74" spans="1:24" ht="12.75">
      <c r="A74" s="4"/>
      <c r="B74" s="4"/>
      <c r="C74" s="4"/>
      <c r="D74" s="4"/>
      <c r="E74" s="4"/>
      <c r="F74" s="4"/>
      <c r="G74" s="4"/>
      <c r="H74" s="4"/>
      <c r="I74" s="4"/>
      <c r="J74" s="4"/>
      <c r="K74" s="4"/>
      <c r="L74" s="4"/>
      <c r="M74" s="4"/>
      <c r="N74" s="4"/>
      <c r="O74" s="4"/>
      <c r="P74" s="4"/>
      <c r="Q74" s="4"/>
      <c r="R74" s="4"/>
      <c r="S74" s="4"/>
      <c r="T74" s="4"/>
      <c r="U74" s="4"/>
      <c r="V74" s="4"/>
      <c r="W74" s="4"/>
      <c r="X74" s="4"/>
    </row>
    <row r="75" spans="1:24" ht="12.75">
      <c r="A75" s="4"/>
      <c r="B75" s="4"/>
      <c r="C75" s="4"/>
      <c r="D75" s="4"/>
      <c r="E75" s="4"/>
      <c r="F75" s="4"/>
      <c r="G75" s="4"/>
      <c r="H75" s="4"/>
      <c r="I75" s="4"/>
      <c r="J75" s="4"/>
      <c r="K75" s="4"/>
      <c r="L75" s="4"/>
      <c r="M75" s="4"/>
      <c r="N75" s="4"/>
      <c r="O75" s="4"/>
      <c r="P75" s="4"/>
      <c r="Q75" s="4"/>
      <c r="R75" s="4"/>
      <c r="S75" s="4"/>
      <c r="T75" s="4"/>
      <c r="U75" s="4"/>
      <c r="V75" s="4"/>
      <c r="W75" s="4"/>
      <c r="X75" s="4"/>
    </row>
    <row r="76" spans="1:24" ht="12.75">
      <c r="A76" s="4"/>
      <c r="B76" s="4"/>
      <c r="C76" s="4"/>
      <c r="D76" s="4"/>
      <c r="E76" s="4"/>
      <c r="F76" s="4"/>
      <c r="G76" s="4"/>
      <c r="H76" s="4"/>
      <c r="I76" s="4"/>
      <c r="J76" s="4"/>
      <c r="K76" s="4"/>
      <c r="L76" s="4"/>
      <c r="M76" s="4"/>
      <c r="N76" s="4"/>
      <c r="O76" s="4"/>
      <c r="P76" s="4"/>
      <c r="Q76" s="4"/>
      <c r="R76" s="4"/>
      <c r="S76" s="4"/>
      <c r="T76" s="4"/>
      <c r="U76" s="4"/>
      <c r="V76" s="4"/>
      <c r="W76" s="4"/>
      <c r="X76" s="4"/>
    </row>
    <row r="77" spans="1:24" ht="12.75">
      <c r="A77" s="4"/>
      <c r="B77" s="4"/>
      <c r="C77" s="4"/>
      <c r="D77" s="4"/>
      <c r="E77" s="4"/>
      <c r="F77" s="4"/>
      <c r="G77" s="4"/>
      <c r="H77" s="4"/>
      <c r="I77" s="4"/>
      <c r="J77" s="4"/>
      <c r="K77" s="4"/>
      <c r="L77" s="4"/>
      <c r="M77" s="4"/>
      <c r="N77" s="4"/>
      <c r="O77" s="4"/>
      <c r="P77" s="4"/>
      <c r="Q77" s="4"/>
      <c r="R77" s="4"/>
      <c r="S77" s="4"/>
      <c r="T77" s="4"/>
      <c r="U77" s="4"/>
      <c r="V77" s="4"/>
      <c r="W77" s="4"/>
      <c r="X77" s="4"/>
    </row>
    <row r="78" spans="1:24" ht="12.75">
      <c r="A78" s="4"/>
      <c r="B78" s="4"/>
      <c r="C78" s="4"/>
      <c r="D78" s="4"/>
      <c r="E78" s="4"/>
      <c r="F78" s="4"/>
      <c r="G78" s="4"/>
      <c r="H78" s="4"/>
      <c r="I78" s="4"/>
      <c r="J78" s="4"/>
      <c r="K78" s="4"/>
      <c r="L78" s="4"/>
      <c r="M78" s="4"/>
      <c r="N78" s="4"/>
      <c r="O78" s="4"/>
      <c r="P78" s="4"/>
      <c r="Q78" s="4"/>
      <c r="R78" s="4"/>
      <c r="S78" s="4"/>
      <c r="T78" s="4"/>
      <c r="U78" s="4"/>
      <c r="V78" s="4"/>
      <c r="W78" s="4"/>
      <c r="X78" s="4"/>
    </row>
    <row r="79" spans="1:24" ht="12.75">
      <c r="A79" s="4"/>
      <c r="B79" s="4"/>
      <c r="C79" s="4"/>
      <c r="D79" s="4"/>
      <c r="E79" s="4"/>
      <c r="F79" s="4"/>
      <c r="G79" s="4"/>
      <c r="H79" s="4"/>
      <c r="I79" s="4"/>
      <c r="J79" s="4"/>
      <c r="K79" s="4"/>
      <c r="L79" s="4"/>
      <c r="M79" s="4"/>
      <c r="N79" s="4"/>
      <c r="O79" s="4"/>
      <c r="P79" s="4"/>
      <c r="Q79" s="4"/>
      <c r="R79" s="4"/>
      <c r="S79" s="4"/>
      <c r="T79" s="4"/>
      <c r="U79" s="4"/>
      <c r="V79" s="4"/>
      <c r="W79" s="4"/>
      <c r="X79" s="4"/>
    </row>
    <row r="80" spans="1:24" ht="12.75">
      <c r="A80" s="4"/>
      <c r="B80" s="4"/>
      <c r="C80" s="4"/>
      <c r="D80" s="4"/>
      <c r="E80" s="4"/>
      <c r="F80" s="4"/>
      <c r="G80" s="4"/>
      <c r="H80" s="4"/>
      <c r="I80" s="4"/>
      <c r="J80" s="4"/>
      <c r="K80" s="4"/>
      <c r="L80" s="4"/>
      <c r="M80" s="4"/>
      <c r="N80" s="4"/>
      <c r="O80" s="4"/>
      <c r="P80" s="4"/>
      <c r="Q80" s="4"/>
      <c r="R80" s="4"/>
      <c r="S80" s="4"/>
      <c r="T80" s="4"/>
      <c r="U80" s="4"/>
      <c r="V80" s="4"/>
      <c r="W80" s="4"/>
      <c r="X80" s="4"/>
    </row>
    <row r="81" spans="1:24" ht="12.75">
      <c r="A81" s="4"/>
      <c r="B81" s="4"/>
      <c r="C81" s="4"/>
      <c r="D81" s="4"/>
      <c r="E81" s="4"/>
      <c r="F81" s="4"/>
      <c r="G81" s="4"/>
      <c r="H81" s="4"/>
      <c r="I81" s="4"/>
      <c r="J81" s="4"/>
      <c r="K81" s="4"/>
      <c r="L81" s="4"/>
      <c r="M81" s="4"/>
      <c r="N81" s="4"/>
      <c r="O81" s="4"/>
      <c r="P81" s="4"/>
      <c r="Q81" s="4"/>
      <c r="R81" s="4"/>
      <c r="S81" s="4"/>
      <c r="T81" s="4"/>
      <c r="U81" s="4"/>
      <c r="V81" s="4"/>
      <c r="W81" s="4"/>
      <c r="X81" s="4"/>
    </row>
    <row r="82" spans="1:24" ht="12.75">
      <c r="A82" s="4"/>
      <c r="B82" s="4"/>
      <c r="C82" s="4"/>
      <c r="D82" s="4"/>
      <c r="E82" s="4"/>
      <c r="F82" s="4"/>
      <c r="G82" s="4"/>
      <c r="H82" s="4"/>
      <c r="I82" s="4"/>
      <c r="J82" s="4"/>
      <c r="K82" s="4"/>
      <c r="L82" s="4"/>
      <c r="M82" s="4"/>
      <c r="N82" s="4"/>
      <c r="O82" s="4"/>
      <c r="P82" s="4"/>
      <c r="Q82" s="4"/>
      <c r="R82" s="4"/>
      <c r="S82" s="4"/>
      <c r="T82" s="4"/>
      <c r="U82" s="4"/>
      <c r="V82" s="4"/>
      <c r="W82" s="4"/>
      <c r="X82" s="4"/>
    </row>
    <row r="83" spans="1:24" ht="12.75">
      <c r="A83" s="4"/>
      <c r="B83" s="4"/>
      <c r="C83" s="4"/>
      <c r="D83" s="4"/>
      <c r="E83" s="4"/>
      <c r="F83" s="4"/>
      <c r="G83" s="4"/>
      <c r="H83" s="4"/>
      <c r="I83" s="4"/>
      <c r="J83" s="4"/>
      <c r="K83" s="4"/>
      <c r="L83" s="4"/>
      <c r="M83" s="4"/>
      <c r="N83" s="4"/>
      <c r="O83" s="4"/>
      <c r="P83" s="4"/>
      <c r="Q83" s="4"/>
      <c r="R83" s="4"/>
      <c r="S83" s="4"/>
      <c r="T83" s="4"/>
      <c r="U83" s="4"/>
      <c r="V83" s="4"/>
      <c r="W83" s="4"/>
      <c r="X83" s="4"/>
    </row>
    <row r="84" spans="1:24" ht="12.75">
      <c r="A84" s="4"/>
      <c r="B84" s="4"/>
      <c r="C84" s="4"/>
      <c r="D84" s="4"/>
      <c r="E84" s="4"/>
      <c r="F84" s="4"/>
      <c r="G84" s="4"/>
      <c r="H84" s="4"/>
      <c r="I84" s="4"/>
      <c r="J84" s="4"/>
      <c r="K84" s="4"/>
      <c r="L84" s="4"/>
      <c r="M84" s="4"/>
      <c r="N84" s="4"/>
      <c r="O84" s="4"/>
      <c r="P84" s="4"/>
      <c r="Q84" s="4"/>
      <c r="R84" s="4"/>
      <c r="S84" s="4"/>
      <c r="T84" s="4"/>
      <c r="U84" s="4"/>
      <c r="V84" s="4"/>
      <c r="W84" s="4"/>
      <c r="X84" s="4"/>
    </row>
    <row r="85" spans="1:24" ht="12.75">
      <c r="A85" s="4"/>
      <c r="B85" s="4"/>
      <c r="C85" s="4"/>
      <c r="D85" s="4"/>
      <c r="E85" s="4"/>
      <c r="F85" s="4"/>
      <c r="G85" s="4"/>
      <c r="H85" s="4"/>
      <c r="I85" s="4"/>
      <c r="J85" s="4"/>
      <c r="K85" s="4"/>
      <c r="L85" s="4"/>
      <c r="M85" s="4"/>
      <c r="N85" s="4"/>
      <c r="O85" s="4"/>
      <c r="P85" s="4"/>
      <c r="Q85" s="4"/>
      <c r="R85" s="4"/>
      <c r="S85" s="4"/>
      <c r="T85" s="4"/>
      <c r="U85" s="4"/>
      <c r="V85" s="4"/>
      <c r="W85" s="4"/>
      <c r="X85" s="4"/>
    </row>
    <row r="86" spans="1:24" ht="12.75">
      <c r="A86" s="4"/>
      <c r="B86" s="4"/>
      <c r="C86" s="4"/>
      <c r="D86" s="4"/>
      <c r="E86" s="4"/>
      <c r="F86" s="4"/>
      <c r="G86" s="4"/>
      <c r="H86" s="4"/>
      <c r="I86" s="4"/>
      <c r="J86" s="4"/>
      <c r="K86" s="4"/>
      <c r="L86" s="4"/>
      <c r="M86" s="4"/>
      <c r="N86" s="4"/>
      <c r="O86" s="4"/>
      <c r="P86" s="4"/>
      <c r="Q86" s="4"/>
      <c r="R86" s="4"/>
      <c r="S86" s="4"/>
      <c r="T86" s="4"/>
      <c r="U86" s="4"/>
      <c r="V86" s="4"/>
      <c r="W86" s="4"/>
      <c r="X86" s="4"/>
    </row>
    <row r="87" spans="1:24" ht="12.75">
      <c r="A87" s="4"/>
      <c r="B87" s="4"/>
      <c r="C87" s="4"/>
      <c r="D87" s="4"/>
      <c r="E87" s="4"/>
      <c r="F87" s="4"/>
      <c r="G87" s="4"/>
      <c r="H87" s="4"/>
      <c r="I87" s="4"/>
      <c r="J87" s="4"/>
      <c r="K87" s="4"/>
      <c r="L87" s="4"/>
      <c r="M87" s="4"/>
      <c r="N87" s="4"/>
      <c r="O87" s="4"/>
      <c r="P87" s="4"/>
      <c r="Q87" s="4"/>
      <c r="R87" s="4"/>
      <c r="S87" s="4"/>
      <c r="T87" s="4"/>
      <c r="U87" s="4"/>
      <c r="V87" s="4"/>
      <c r="W87" s="4"/>
      <c r="X87" s="4"/>
    </row>
    <row r="88" spans="1:24" ht="12.75">
      <c r="A88" s="4"/>
      <c r="B88" s="4"/>
      <c r="C88" s="4"/>
      <c r="D88" s="4"/>
      <c r="E88" s="4"/>
      <c r="F88" s="4"/>
      <c r="G88" s="4"/>
      <c r="H88" s="4"/>
      <c r="I88" s="4"/>
      <c r="J88" s="4"/>
      <c r="K88" s="4"/>
      <c r="L88" s="4"/>
      <c r="M88" s="4"/>
      <c r="N88" s="4"/>
      <c r="O88" s="4"/>
      <c r="P88" s="4"/>
      <c r="Q88" s="4"/>
      <c r="R88" s="4"/>
      <c r="S88" s="4"/>
      <c r="T88" s="4"/>
      <c r="U88" s="4"/>
      <c r="V88" s="4"/>
      <c r="W88" s="4"/>
      <c r="X88" s="4"/>
    </row>
    <row r="89" spans="1:24" ht="12.75">
      <c r="A89" s="4"/>
      <c r="B89" s="4"/>
      <c r="C89" s="4"/>
      <c r="D89" s="4"/>
      <c r="E89" s="4"/>
      <c r="F89" s="4"/>
      <c r="G89" s="4"/>
      <c r="H89" s="4"/>
      <c r="I89" s="4"/>
      <c r="J89" s="4"/>
      <c r="K89" s="4"/>
      <c r="L89" s="4"/>
      <c r="M89" s="4"/>
      <c r="N89" s="4"/>
      <c r="O89" s="4"/>
      <c r="P89" s="4"/>
      <c r="Q89" s="4"/>
      <c r="R89" s="4"/>
      <c r="S89" s="4"/>
      <c r="T89" s="4"/>
      <c r="U89" s="4"/>
      <c r="V89" s="4"/>
      <c r="W89" s="4"/>
      <c r="X89" s="4"/>
    </row>
    <row r="90" spans="1:24" ht="12.75">
      <c r="A90" s="4"/>
      <c r="B90" s="4"/>
      <c r="C90" s="4"/>
      <c r="D90" s="4"/>
      <c r="E90" s="4"/>
      <c r="F90" s="4"/>
      <c r="G90" s="4"/>
      <c r="H90" s="4"/>
      <c r="I90" s="4"/>
      <c r="J90" s="4"/>
      <c r="K90" s="4"/>
      <c r="L90" s="4"/>
      <c r="M90" s="4"/>
      <c r="N90" s="4"/>
      <c r="O90" s="4"/>
      <c r="P90" s="4"/>
      <c r="Q90" s="4"/>
      <c r="R90" s="4"/>
      <c r="S90" s="4"/>
      <c r="T90" s="4"/>
      <c r="U90" s="4"/>
      <c r="V90" s="4"/>
      <c r="W90" s="4"/>
      <c r="X90" s="4"/>
    </row>
    <row r="91" spans="1:24" ht="12.75">
      <c r="A91" s="4"/>
      <c r="B91" s="4"/>
      <c r="C91" s="4"/>
      <c r="D91" s="4"/>
      <c r="E91" s="4"/>
      <c r="F91" s="4"/>
      <c r="G91" s="4"/>
      <c r="H91" s="4"/>
      <c r="I91" s="4"/>
      <c r="J91" s="4"/>
      <c r="K91" s="4"/>
      <c r="L91" s="4"/>
      <c r="M91" s="4"/>
      <c r="N91" s="4"/>
      <c r="O91" s="4"/>
      <c r="P91" s="4"/>
      <c r="Q91" s="4"/>
      <c r="R91" s="4"/>
      <c r="S91" s="4"/>
      <c r="T91" s="4"/>
      <c r="U91" s="4"/>
      <c r="V91" s="4"/>
      <c r="W91" s="4"/>
      <c r="X91" s="4"/>
    </row>
    <row r="92" spans="1:24" ht="12.75">
      <c r="A92" s="4"/>
      <c r="B92" s="4"/>
      <c r="C92" s="4"/>
      <c r="D92" s="4"/>
      <c r="E92" s="4"/>
      <c r="F92" s="4"/>
      <c r="G92" s="4"/>
      <c r="H92" s="4"/>
      <c r="I92" s="4"/>
      <c r="J92" s="4"/>
      <c r="K92" s="4"/>
      <c r="L92" s="4"/>
      <c r="M92" s="4"/>
      <c r="N92" s="4"/>
      <c r="O92" s="4"/>
      <c r="P92" s="4"/>
      <c r="Q92" s="4"/>
      <c r="R92" s="4"/>
      <c r="S92" s="4"/>
      <c r="T92" s="4"/>
      <c r="U92" s="4"/>
      <c r="V92" s="4"/>
      <c r="W92" s="4"/>
      <c r="X92" s="4"/>
    </row>
    <row r="93" spans="1:24" ht="12.75">
      <c r="A93" s="4"/>
      <c r="B93" s="4"/>
      <c r="C93" s="4"/>
      <c r="D93" s="4"/>
      <c r="E93" s="4"/>
      <c r="F93" s="4"/>
      <c r="G93" s="4"/>
      <c r="H93" s="4"/>
      <c r="I93" s="4"/>
      <c r="J93" s="4"/>
      <c r="K93" s="4"/>
      <c r="L93" s="4"/>
      <c r="M93" s="4"/>
      <c r="N93" s="4"/>
      <c r="O93" s="4"/>
      <c r="P93" s="4"/>
      <c r="Q93" s="4"/>
      <c r="R93" s="4"/>
      <c r="S93" s="4"/>
      <c r="T93" s="4"/>
      <c r="U93" s="4"/>
      <c r="V93" s="4"/>
      <c r="W93" s="4"/>
      <c r="X93" s="4"/>
    </row>
    <row r="94" spans="1:24" ht="12.75">
      <c r="A94" s="4"/>
      <c r="B94" s="4"/>
      <c r="C94" s="4"/>
      <c r="D94" s="4"/>
      <c r="E94" s="4"/>
      <c r="F94" s="4"/>
      <c r="G94" s="4"/>
      <c r="H94" s="4"/>
      <c r="I94" s="4"/>
      <c r="J94" s="4"/>
      <c r="K94" s="4"/>
      <c r="L94" s="4"/>
      <c r="M94" s="4"/>
      <c r="N94" s="4"/>
      <c r="O94" s="4"/>
      <c r="P94" s="4"/>
      <c r="Q94" s="4"/>
      <c r="R94" s="4"/>
      <c r="S94" s="4"/>
      <c r="T94" s="4"/>
      <c r="U94" s="4"/>
      <c r="V94" s="4"/>
      <c r="W94" s="4"/>
      <c r="X94" s="4"/>
    </row>
    <row r="95" spans="1:24" ht="12.75">
      <c r="A95" s="4"/>
      <c r="B95" s="4"/>
      <c r="C95" s="4"/>
      <c r="D95" s="4"/>
      <c r="E95" s="4"/>
      <c r="F95" s="4"/>
      <c r="G95" s="4"/>
      <c r="H95" s="4"/>
      <c r="I95" s="4"/>
      <c r="J95" s="4"/>
      <c r="K95" s="4"/>
      <c r="L95" s="4"/>
      <c r="M95" s="4"/>
      <c r="N95" s="4"/>
      <c r="O95" s="4"/>
      <c r="P95" s="4"/>
      <c r="Q95" s="4"/>
      <c r="R95" s="4"/>
      <c r="S95" s="4"/>
      <c r="T95" s="4"/>
      <c r="U95" s="4"/>
      <c r="V95" s="4"/>
      <c r="W95" s="4"/>
      <c r="X95" s="4"/>
    </row>
    <row r="96" spans="1:24" ht="12.75">
      <c r="A96" s="4"/>
      <c r="B96" s="4"/>
      <c r="C96" s="4"/>
      <c r="D96" s="4"/>
      <c r="E96" s="4"/>
      <c r="F96" s="4"/>
      <c r="G96" s="4"/>
      <c r="H96" s="4"/>
      <c r="I96" s="4"/>
      <c r="J96" s="4"/>
      <c r="K96" s="4"/>
      <c r="L96" s="4"/>
      <c r="M96" s="4"/>
      <c r="N96" s="4"/>
      <c r="O96" s="4"/>
      <c r="P96" s="4"/>
      <c r="Q96" s="4"/>
      <c r="R96" s="4"/>
      <c r="S96" s="4"/>
      <c r="T96" s="4"/>
      <c r="U96" s="4"/>
      <c r="V96" s="4"/>
      <c r="W96" s="4"/>
      <c r="X96" s="4"/>
    </row>
    <row r="97" spans="1:24" ht="12.75">
      <c r="A97" s="4"/>
      <c r="B97" s="4"/>
      <c r="C97" s="4"/>
      <c r="D97" s="4"/>
      <c r="E97" s="4"/>
      <c r="F97" s="4"/>
      <c r="G97" s="4"/>
      <c r="H97" s="4"/>
      <c r="I97" s="4"/>
      <c r="J97" s="4"/>
      <c r="K97" s="4"/>
      <c r="L97" s="4"/>
      <c r="M97" s="4"/>
      <c r="N97" s="4"/>
      <c r="O97" s="4"/>
      <c r="P97" s="4"/>
      <c r="Q97" s="4"/>
      <c r="R97" s="4"/>
      <c r="S97" s="4"/>
      <c r="T97" s="4"/>
      <c r="U97" s="4"/>
      <c r="V97" s="4"/>
      <c r="W97" s="4"/>
      <c r="X97" s="4"/>
    </row>
    <row r="98" spans="1:24" ht="12.75">
      <c r="A98" s="4"/>
      <c r="B98" s="4"/>
      <c r="C98" s="4"/>
      <c r="D98" s="4"/>
      <c r="E98" s="4"/>
      <c r="F98" s="4"/>
      <c r="G98" s="4"/>
      <c r="H98" s="4"/>
      <c r="I98" s="4"/>
      <c r="J98" s="4"/>
      <c r="K98" s="4"/>
      <c r="L98" s="4"/>
      <c r="M98" s="4"/>
      <c r="N98" s="4"/>
      <c r="O98" s="4"/>
      <c r="P98" s="4"/>
      <c r="Q98" s="4"/>
      <c r="R98" s="4"/>
      <c r="S98" s="4"/>
      <c r="T98" s="4"/>
      <c r="U98" s="4"/>
      <c r="V98" s="4"/>
      <c r="W98" s="4"/>
      <c r="X98" s="4"/>
    </row>
    <row r="99" spans="1:24" ht="12.75">
      <c r="A99" s="4"/>
      <c r="B99" s="4"/>
      <c r="C99" s="4"/>
      <c r="D99" s="4"/>
      <c r="E99" s="4"/>
      <c r="F99" s="4"/>
      <c r="G99" s="4"/>
      <c r="H99" s="4"/>
      <c r="I99" s="4"/>
      <c r="J99" s="4"/>
      <c r="K99" s="4"/>
      <c r="L99" s="4"/>
      <c r="M99" s="4"/>
      <c r="N99" s="4"/>
      <c r="O99" s="4"/>
      <c r="P99" s="4"/>
      <c r="Q99" s="4"/>
      <c r="R99" s="4"/>
      <c r="S99" s="4"/>
      <c r="T99" s="4"/>
      <c r="U99" s="4"/>
      <c r="V99" s="4"/>
      <c r="W99" s="4"/>
      <c r="X99" s="4"/>
    </row>
    <row r="100" spans="1:24" ht="12.7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7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7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7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7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7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7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7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7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7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7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7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7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7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7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7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7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75">
      <c r="A119" s="112"/>
      <c r="B119" s="112"/>
      <c r="C119" s="112"/>
      <c r="D119" s="112"/>
      <c r="E119" s="112"/>
      <c r="F119" s="112"/>
      <c r="G119" s="112"/>
      <c r="H119" s="112"/>
      <c r="I119" s="112"/>
      <c r="J119" s="112"/>
      <c r="K119" s="112"/>
      <c r="L119" s="112"/>
      <c r="M119" s="112"/>
      <c r="N119" s="112"/>
      <c r="O119" s="112"/>
      <c r="P119" s="112"/>
      <c r="Q119" s="4"/>
      <c r="R119" s="4"/>
      <c r="S119" s="4"/>
      <c r="T119" s="4"/>
      <c r="U119" s="4"/>
      <c r="V119" s="4"/>
      <c r="W119" s="4"/>
      <c r="X119" s="4"/>
    </row>
    <row r="120" spans="1:24" ht="12.75">
      <c r="A120" s="112">
        <v>123</v>
      </c>
      <c r="B120" s="449" t="s">
        <v>335</v>
      </c>
      <c r="C120" s="449" t="s">
        <v>204</v>
      </c>
      <c r="D120" s="449" t="s">
        <v>303</v>
      </c>
      <c r="E120" s="449" t="s">
        <v>304</v>
      </c>
      <c r="F120" s="449" t="s">
        <v>322</v>
      </c>
      <c r="G120" s="449" t="s">
        <v>305</v>
      </c>
      <c r="H120" s="449" t="s">
        <v>336</v>
      </c>
      <c r="I120" s="112"/>
      <c r="J120" s="112"/>
      <c r="K120" s="112"/>
      <c r="L120" s="112"/>
      <c r="M120" s="112"/>
      <c r="N120" s="112"/>
      <c r="O120" s="112"/>
      <c r="P120" s="112"/>
      <c r="Q120" s="4"/>
      <c r="R120" s="4"/>
      <c r="S120" s="4"/>
      <c r="T120" s="4"/>
      <c r="U120" s="4"/>
      <c r="V120" s="4"/>
      <c r="W120" s="4"/>
      <c r="X120" s="4"/>
    </row>
    <row r="121" spans="1:24" ht="12.75">
      <c r="A121" s="112">
        <v>124</v>
      </c>
      <c r="B121" s="112"/>
      <c r="C121" s="112"/>
      <c r="D121" s="112"/>
      <c r="E121" s="112"/>
      <c r="F121" s="112"/>
      <c r="G121" s="112"/>
      <c r="H121" s="112"/>
      <c r="I121" s="112"/>
      <c r="J121" s="112"/>
      <c r="K121" s="112"/>
      <c r="L121" s="112"/>
      <c r="M121" s="112"/>
      <c r="N121" s="112"/>
      <c r="O121" s="112"/>
      <c r="P121" s="112"/>
      <c r="Q121" s="4"/>
      <c r="R121" s="4"/>
      <c r="S121" s="4"/>
      <c r="T121" s="4"/>
      <c r="U121" s="4"/>
      <c r="V121" s="4"/>
      <c r="W121" s="4"/>
      <c r="X121" s="4"/>
    </row>
    <row r="122" spans="1:24" ht="12.75">
      <c r="A122" s="112">
        <v>125</v>
      </c>
      <c r="B122" s="112"/>
      <c r="C122" s="112"/>
      <c r="D122" s="112"/>
      <c r="E122" s="112"/>
      <c r="F122" s="112"/>
      <c r="G122" s="112"/>
      <c r="H122" s="112"/>
      <c r="I122" s="112"/>
      <c r="J122" s="112"/>
      <c r="K122" s="112"/>
      <c r="L122" s="112"/>
      <c r="M122" s="112"/>
      <c r="N122" s="112"/>
      <c r="O122" s="112"/>
      <c r="P122" s="112"/>
      <c r="Q122" s="4"/>
      <c r="R122" s="4"/>
      <c r="S122" s="4"/>
      <c r="T122" s="4"/>
      <c r="U122" s="4"/>
      <c r="V122" s="4"/>
      <c r="W122" s="4"/>
      <c r="X122" s="4"/>
    </row>
    <row r="123" spans="1:24" ht="12.75">
      <c r="A123" s="112">
        <v>126</v>
      </c>
      <c r="B123" s="112"/>
      <c r="C123" s="112"/>
      <c r="D123" s="112"/>
      <c r="E123" s="112"/>
      <c r="F123" s="112"/>
      <c r="G123" s="112"/>
      <c r="H123" s="112"/>
      <c r="I123" s="112"/>
      <c r="J123" s="112"/>
      <c r="K123" s="112"/>
      <c r="L123" s="112"/>
      <c r="M123" s="112"/>
      <c r="N123" s="112"/>
      <c r="O123" s="112"/>
      <c r="P123" s="112"/>
      <c r="Q123" s="4"/>
      <c r="R123" s="4"/>
      <c r="S123" s="4"/>
      <c r="T123" s="4"/>
      <c r="U123" s="4"/>
      <c r="V123" s="4"/>
      <c r="W123" s="4"/>
      <c r="X123" s="4"/>
    </row>
    <row r="124" spans="1:24" ht="12.75">
      <c r="A124" s="112">
        <v>127</v>
      </c>
      <c r="B124" s="112"/>
      <c r="C124" s="112"/>
      <c r="D124" s="450" t="s">
        <v>311</v>
      </c>
      <c r="E124" s="450"/>
      <c r="F124" s="450">
        <v>2990</v>
      </c>
      <c r="G124" s="112"/>
      <c r="H124" s="112"/>
      <c r="I124" s="112"/>
      <c r="J124" s="112"/>
      <c r="K124" s="112"/>
      <c r="L124" s="112"/>
      <c r="M124" s="112"/>
      <c r="N124" s="112"/>
      <c r="O124" s="112"/>
      <c r="P124" s="112"/>
      <c r="Q124" s="4"/>
      <c r="R124" s="4"/>
      <c r="S124" s="4"/>
      <c r="T124" s="4"/>
      <c r="U124" s="4"/>
      <c r="V124" s="4"/>
      <c r="W124" s="4"/>
      <c r="X124" s="4"/>
    </row>
    <row r="125" spans="1:24" ht="12.75">
      <c r="A125" s="112">
        <v>128</v>
      </c>
      <c r="B125" s="112"/>
      <c r="C125" s="112"/>
      <c r="D125" s="450" t="s">
        <v>312</v>
      </c>
      <c r="E125" s="450"/>
      <c r="F125" s="450">
        <f>F124*0.5</f>
        <v>1495</v>
      </c>
      <c r="G125" s="112"/>
      <c r="H125" s="112"/>
      <c r="I125" s="112"/>
      <c r="J125" s="112"/>
      <c r="K125" s="112"/>
      <c r="L125" s="112"/>
      <c r="M125" s="112"/>
      <c r="N125" s="112"/>
      <c r="O125" s="112"/>
      <c r="P125" s="112"/>
      <c r="Q125" s="4"/>
      <c r="R125" s="4"/>
      <c r="S125" s="4"/>
      <c r="T125" s="4"/>
      <c r="U125" s="4"/>
      <c r="V125" s="4"/>
      <c r="W125" s="4"/>
      <c r="X125" s="4"/>
    </row>
    <row r="126" spans="1:24" ht="12.75">
      <c r="A126" s="112">
        <v>129</v>
      </c>
      <c r="B126" s="112"/>
      <c r="C126" s="450"/>
      <c r="D126" s="450" t="s">
        <v>2</v>
      </c>
      <c r="E126" s="450"/>
      <c r="F126" s="451" t="s">
        <v>322</v>
      </c>
      <c r="G126" s="450"/>
      <c r="H126" s="451" t="s">
        <v>321</v>
      </c>
      <c r="I126" s="452"/>
      <c r="J126" s="452"/>
      <c r="K126" s="450"/>
      <c r="L126" s="450"/>
      <c r="M126" s="450"/>
      <c r="N126" s="450"/>
      <c r="O126" s="450"/>
      <c r="P126" s="112"/>
      <c r="Q126" s="4"/>
      <c r="R126" s="4"/>
      <c r="S126" s="4"/>
      <c r="T126" s="4"/>
      <c r="U126" s="4"/>
      <c r="V126" s="4"/>
      <c r="W126" s="4"/>
      <c r="X126" s="4"/>
    </row>
    <row r="127" spans="1:24" ht="12.75">
      <c r="A127" s="112">
        <v>130</v>
      </c>
      <c r="B127" s="451" t="s">
        <v>313</v>
      </c>
      <c r="C127" s="450"/>
      <c r="D127" s="112"/>
      <c r="E127" s="112"/>
      <c r="F127" s="453" t="s">
        <v>205</v>
      </c>
      <c r="G127" s="112"/>
      <c r="H127" s="454" t="s">
        <v>86</v>
      </c>
      <c r="I127" s="112"/>
      <c r="J127" s="112"/>
      <c r="K127" s="454"/>
      <c r="L127" s="450"/>
      <c r="M127" s="450"/>
      <c r="N127" s="112"/>
      <c r="O127" s="112"/>
      <c r="P127" s="112"/>
      <c r="Q127" s="4"/>
      <c r="R127" s="4"/>
      <c r="S127" s="4"/>
      <c r="T127" s="4"/>
      <c r="U127" s="4"/>
      <c r="V127" s="4"/>
      <c r="W127" s="4"/>
      <c r="X127" s="4"/>
    </row>
    <row r="128" spans="1:24" ht="12.75">
      <c r="A128" s="112">
        <v>131</v>
      </c>
      <c r="B128" s="451"/>
      <c r="C128" s="450" t="s">
        <v>206</v>
      </c>
      <c r="D128" s="112"/>
      <c r="E128" s="112"/>
      <c r="F128" s="452"/>
      <c r="G128" s="112"/>
      <c r="H128" s="455"/>
      <c r="I128" s="112"/>
      <c r="J128" s="112"/>
      <c r="K128" s="456"/>
      <c r="L128" s="450"/>
      <c r="M128" s="450"/>
      <c r="N128" s="112"/>
      <c r="O128" s="112"/>
      <c r="P128" s="112"/>
      <c r="Q128" s="4"/>
      <c r="R128" s="4"/>
      <c r="S128" s="4"/>
      <c r="T128" s="4"/>
      <c r="U128" s="4"/>
      <c r="V128" s="4"/>
      <c r="W128" s="4"/>
      <c r="X128" s="4"/>
    </row>
    <row r="129" spans="1:24" ht="12.75">
      <c r="A129" s="112">
        <v>132</v>
      </c>
      <c r="B129" s="451">
        <v>8</v>
      </c>
      <c r="C129" s="450" t="s">
        <v>207</v>
      </c>
      <c r="D129" s="451" t="s">
        <v>314</v>
      </c>
      <c r="E129" s="112"/>
      <c r="F129" s="457">
        <v>3400</v>
      </c>
      <c r="G129" s="112"/>
      <c r="H129" s="455">
        <f>$F$125</f>
        <v>1495</v>
      </c>
      <c r="I129" s="112"/>
      <c r="J129" s="112"/>
      <c r="K129" s="456"/>
      <c r="L129" s="450"/>
      <c r="M129" s="450"/>
      <c r="N129" s="112"/>
      <c r="O129" s="450"/>
      <c r="P129" s="112"/>
      <c r="Q129" s="4"/>
      <c r="R129" s="4"/>
      <c r="S129" s="4"/>
      <c r="T129" s="4"/>
      <c r="U129" s="4"/>
      <c r="V129" s="4"/>
      <c r="W129" s="4"/>
      <c r="X129" s="4"/>
    </row>
    <row r="130" spans="1:24" ht="12.75">
      <c r="A130" s="112">
        <v>133</v>
      </c>
      <c r="B130" s="451" t="s">
        <v>2</v>
      </c>
      <c r="C130" s="450"/>
      <c r="D130" s="451"/>
      <c r="E130" s="112"/>
      <c r="F130" s="451"/>
      <c r="G130" s="112"/>
      <c r="H130" s="455"/>
      <c r="I130" s="112"/>
      <c r="J130" s="112"/>
      <c r="K130" s="456"/>
      <c r="L130" s="450"/>
      <c r="M130" s="450"/>
      <c r="N130" s="112"/>
      <c r="O130" s="450"/>
      <c r="P130" s="112"/>
      <c r="Q130" s="4"/>
      <c r="R130" s="4"/>
      <c r="S130" s="4"/>
      <c r="T130" s="4"/>
      <c r="U130" s="4"/>
      <c r="V130" s="4"/>
      <c r="W130" s="4"/>
      <c r="X130" s="4"/>
    </row>
    <row r="131" spans="1:24" ht="12.75">
      <c r="A131" s="112">
        <v>134</v>
      </c>
      <c r="B131" s="451">
        <v>7</v>
      </c>
      <c r="C131" s="450" t="s">
        <v>207</v>
      </c>
      <c r="D131" s="451" t="s">
        <v>315</v>
      </c>
      <c r="E131" s="112"/>
      <c r="F131" s="451">
        <v>4000</v>
      </c>
      <c r="G131" s="112"/>
      <c r="H131" s="455">
        <f>$F$125</f>
        <v>1495</v>
      </c>
      <c r="I131" s="112"/>
      <c r="J131" s="112"/>
      <c r="K131" s="456"/>
      <c r="L131" s="450"/>
      <c r="M131" s="450"/>
      <c r="N131" s="112"/>
      <c r="O131" s="450"/>
      <c r="P131" s="112"/>
      <c r="Q131" s="4"/>
      <c r="R131" s="4"/>
      <c r="S131" s="4"/>
      <c r="T131" s="4"/>
      <c r="U131" s="4"/>
      <c r="V131" s="4"/>
      <c r="W131" s="4"/>
      <c r="X131" s="4"/>
    </row>
    <row r="132" spans="1:24" ht="12.75">
      <c r="A132" s="112">
        <v>135</v>
      </c>
      <c r="B132" s="451" t="s">
        <v>2</v>
      </c>
      <c r="C132" s="450"/>
      <c r="D132" s="451"/>
      <c r="E132" s="112"/>
      <c r="F132" s="451"/>
      <c r="G132" s="112"/>
      <c r="H132" s="455"/>
      <c r="I132" s="112"/>
      <c r="J132" s="112"/>
      <c r="K132" s="456"/>
      <c r="L132" s="450"/>
      <c r="M132" s="450"/>
      <c r="N132" s="112"/>
      <c r="O132" s="450"/>
      <c r="P132" s="112"/>
      <c r="Q132" s="4"/>
      <c r="R132" s="4"/>
      <c r="S132" s="4"/>
      <c r="T132" s="4"/>
      <c r="U132" s="4"/>
      <c r="V132" s="4"/>
      <c r="W132" s="4"/>
      <c r="X132" s="4"/>
    </row>
    <row r="133" spans="1:24" ht="12.75">
      <c r="A133" s="112">
        <v>136</v>
      </c>
      <c r="B133" s="451">
        <v>6</v>
      </c>
      <c r="C133" s="450" t="s">
        <v>207</v>
      </c>
      <c r="D133" s="451" t="s">
        <v>316</v>
      </c>
      <c r="E133" s="112"/>
      <c r="F133" s="451">
        <v>3000</v>
      </c>
      <c r="G133" s="112"/>
      <c r="H133" s="455">
        <f>$F$125</f>
        <v>1495</v>
      </c>
      <c r="I133" s="112"/>
      <c r="J133" s="112"/>
      <c r="K133" s="456"/>
      <c r="L133" s="450"/>
      <c r="M133" s="450"/>
      <c r="N133" s="112"/>
      <c r="O133" s="450"/>
      <c r="P133" s="112"/>
      <c r="Q133" s="4"/>
      <c r="R133" s="4"/>
      <c r="S133" s="4"/>
      <c r="T133" s="4"/>
      <c r="U133" s="4"/>
      <c r="V133" s="4"/>
      <c r="W133" s="4"/>
      <c r="X133" s="4"/>
    </row>
    <row r="134" spans="1:24" ht="12.75">
      <c r="A134" s="112">
        <v>137</v>
      </c>
      <c r="B134" s="112"/>
      <c r="C134" s="450"/>
      <c r="D134" s="451" t="s">
        <v>2</v>
      </c>
      <c r="E134" s="112"/>
      <c r="F134" s="450"/>
      <c r="G134" s="450"/>
      <c r="H134" s="450"/>
      <c r="I134" s="450"/>
      <c r="J134" s="450"/>
      <c r="K134" s="450"/>
      <c r="L134" s="450"/>
      <c r="M134" s="450"/>
      <c r="N134" s="112"/>
      <c r="O134" s="450"/>
      <c r="P134" s="112"/>
      <c r="Q134" s="4"/>
      <c r="R134" s="4"/>
      <c r="S134" s="4"/>
      <c r="T134" s="4"/>
      <c r="U134" s="4"/>
      <c r="V134" s="4"/>
      <c r="W134" s="4"/>
      <c r="X134" s="4"/>
    </row>
    <row r="135" spans="1:24" ht="12.75">
      <c r="A135" s="112">
        <v>138</v>
      </c>
      <c r="B135" s="112"/>
      <c r="C135" s="450"/>
      <c r="D135" s="450"/>
      <c r="E135" s="450"/>
      <c r="F135" s="450"/>
      <c r="G135" s="450"/>
      <c r="H135" s="450"/>
      <c r="I135" s="450"/>
      <c r="J135" s="450"/>
      <c r="K135" s="450"/>
      <c r="L135" s="450"/>
      <c r="M135" s="450"/>
      <c r="N135" s="450"/>
      <c r="O135" s="450"/>
      <c r="P135" s="112"/>
      <c r="Q135" s="4"/>
      <c r="R135" s="4"/>
      <c r="S135" s="4"/>
      <c r="T135" s="4"/>
      <c r="U135" s="4"/>
      <c r="V135" s="4"/>
      <c r="W135" s="4"/>
      <c r="X135" s="4"/>
    </row>
    <row r="136" spans="1:24" ht="12.75">
      <c r="A136" s="112">
        <v>139</v>
      </c>
      <c r="B136" s="112"/>
      <c r="C136" s="112"/>
      <c r="D136" s="112"/>
      <c r="E136" s="112"/>
      <c r="F136" s="112"/>
      <c r="G136" s="112"/>
      <c r="H136" s="112"/>
      <c r="I136" s="112"/>
      <c r="J136" s="112"/>
      <c r="K136" s="112"/>
      <c r="L136" s="112"/>
      <c r="M136" s="112"/>
      <c r="N136" s="112"/>
      <c r="O136" s="112"/>
      <c r="P136" s="112"/>
      <c r="Q136" s="4"/>
      <c r="R136" s="4"/>
      <c r="S136" s="4"/>
      <c r="T136" s="4"/>
      <c r="U136" s="4"/>
      <c r="V136" s="4"/>
      <c r="W136" s="4"/>
      <c r="X136" s="4"/>
    </row>
    <row r="137" spans="1:24" ht="12.75">
      <c r="A137" s="112">
        <v>140</v>
      </c>
      <c r="B137" s="112"/>
      <c r="C137" s="112"/>
      <c r="D137" s="452">
        <v>140</v>
      </c>
      <c r="E137" s="112"/>
      <c r="F137" s="450" t="s">
        <v>302</v>
      </c>
      <c r="G137" s="112"/>
      <c r="H137" s="450"/>
      <c r="I137" s="112"/>
      <c r="J137" s="112"/>
      <c r="K137" s="112"/>
      <c r="L137" s="112"/>
      <c r="M137" s="451" t="s">
        <v>306</v>
      </c>
      <c r="N137" s="451" t="s">
        <v>319</v>
      </c>
      <c r="O137" s="451" t="s">
        <v>320</v>
      </c>
      <c r="P137" s="112"/>
      <c r="Q137" s="4"/>
      <c r="R137" s="4"/>
      <c r="S137" s="4"/>
      <c r="T137" s="4"/>
      <c r="U137" s="4"/>
      <c r="V137" s="4"/>
      <c r="W137" s="4"/>
      <c r="X137" s="4"/>
    </row>
    <row r="138" spans="1:24" ht="12.75">
      <c r="A138" s="112">
        <v>141</v>
      </c>
      <c r="B138" s="112"/>
      <c r="C138" s="112"/>
      <c r="D138" s="452">
        <v>141</v>
      </c>
      <c r="E138" s="112"/>
      <c r="F138" s="450" t="s">
        <v>307</v>
      </c>
      <c r="G138" s="112"/>
      <c r="H138" s="456">
        <f>653*F129</f>
        <v>2220200</v>
      </c>
      <c r="I138" s="458"/>
      <c r="J138" s="458"/>
      <c r="K138" s="458"/>
      <c r="L138" s="459" t="s">
        <v>309</v>
      </c>
      <c r="M138" s="458"/>
      <c r="N138" s="458"/>
      <c r="O138" s="458"/>
      <c r="P138" s="112"/>
      <c r="Q138" s="4"/>
      <c r="R138" s="4"/>
      <c r="S138" s="4"/>
      <c r="T138" s="4"/>
      <c r="U138" s="4"/>
      <c r="V138" s="4"/>
      <c r="W138" s="4"/>
      <c r="X138" s="4"/>
    </row>
    <row r="139" spans="1:24" ht="12.75">
      <c r="A139" s="112">
        <v>142</v>
      </c>
      <c r="B139" s="112"/>
      <c r="C139" s="112"/>
      <c r="D139" s="452">
        <v>142</v>
      </c>
      <c r="E139" s="112"/>
      <c r="F139" s="450" t="s">
        <v>308</v>
      </c>
      <c r="G139" s="112"/>
      <c r="H139" s="456">
        <f>300*F129</f>
        <v>1020000</v>
      </c>
      <c r="I139" s="458"/>
      <c r="J139" s="458"/>
      <c r="K139" s="458"/>
      <c r="L139" s="456" t="s">
        <v>310</v>
      </c>
      <c r="M139" s="456">
        <v>0</v>
      </c>
      <c r="N139" s="456">
        <v>0</v>
      </c>
      <c r="O139" s="456">
        <v>0</v>
      </c>
      <c r="P139" s="112"/>
      <c r="Q139" s="4"/>
      <c r="R139" s="4"/>
      <c r="S139" s="4"/>
      <c r="T139" s="4"/>
      <c r="U139" s="4"/>
      <c r="V139" s="4"/>
      <c r="W139" s="4"/>
      <c r="X139" s="4"/>
    </row>
    <row r="140" spans="1:24" ht="12.75">
      <c r="A140" s="112">
        <v>143</v>
      </c>
      <c r="B140" s="112"/>
      <c r="C140" s="112"/>
      <c r="D140" s="452">
        <v>143</v>
      </c>
      <c r="E140" s="112"/>
      <c r="F140" s="450" t="s">
        <v>260</v>
      </c>
      <c r="G140" s="112"/>
      <c r="H140" s="456">
        <f>M145</f>
        <v>471400</v>
      </c>
      <c r="I140" s="458"/>
      <c r="J140" s="458"/>
      <c r="K140" s="458"/>
      <c r="L140" s="456" t="s">
        <v>212</v>
      </c>
      <c r="M140" s="456">
        <v>150000</v>
      </c>
      <c r="N140" s="456">
        <v>150000</v>
      </c>
      <c r="O140" s="456">
        <v>150000</v>
      </c>
      <c r="P140" s="112"/>
      <c r="Q140" s="4"/>
      <c r="R140" s="4"/>
      <c r="S140" s="4"/>
      <c r="T140" s="4"/>
      <c r="U140" s="4"/>
      <c r="V140" s="4"/>
      <c r="W140" s="4"/>
      <c r="X140" s="4"/>
    </row>
    <row r="141" spans="1:24" ht="12.75">
      <c r="A141" s="112">
        <v>144</v>
      </c>
      <c r="B141" s="112"/>
      <c r="C141" s="112"/>
      <c r="D141" s="452">
        <v>144</v>
      </c>
      <c r="E141" s="112"/>
      <c r="F141" s="460" t="s">
        <v>105</v>
      </c>
      <c r="G141" s="113"/>
      <c r="H141" s="459">
        <f>SUM(H138:H140)</f>
        <v>3711600</v>
      </c>
      <c r="I141" s="458"/>
      <c r="J141" s="458"/>
      <c r="K141" s="458"/>
      <c r="L141" s="456" t="s">
        <v>327</v>
      </c>
      <c r="M141" s="456">
        <f>471400-150000</f>
        <v>321400</v>
      </c>
      <c r="N141" s="456">
        <f>4000*95</f>
        <v>380000</v>
      </c>
      <c r="O141" s="456">
        <f>95*3000</f>
        <v>285000</v>
      </c>
      <c r="P141" s="112"/>
      <c r="Q141" s="4"/>
      <c r="R141" s="4"/>
      <c r="S141" s="4"/>
      <c r="T141" s="4"/>
      <c r="U141" s="4"/>
      <c r="V141" s="4"/>
      <c r="W141" s="4"/>
      <c r="X141" s="4"/>
    </row>
    <row r="142" spans="1:24" ht="12.75">
      <c r="A142" s="112">
        <v>145</v>
      </c>
      <c r="B142" s="112"/>
      <c r="C142" s="112"/>
      <c r="D142" s="452">
        <v>145</v>
      </c>
      <c r="E142" s="112"/>
      <c r="F142" s="450" t="s">
        <v>317</v>
      </c>
      <c r="G142" s="112"/>
      <c r="H142" s="456">
        <f>653*F131</f>
        <v>2612000</v>
      </c>
      <c r="I142" s="458"/>
      <c r="J142" s="458"/>
      <c r="K142" s="458"/>
      <c r="L142" s="456"/>
      <c r="M142" s="456"/>
      <c r="N142" s="456"/>
      <c r="O142" s="456"/>
      <c r="P142" s="112"/>
      <c r="Q142" s="4"/>
      <c r="R142" s="4"/>
      <c r="S142" s="4"/>
      <c r="T142" s="4"/>
      <c r="U142" s="4"/>
      <c r="V142" s="4"/>
      <c r="W142" s="4"/>
      <c r="X142" s="4"/>
    </row>
    <row r="143" spans="1:24" ht="12.75">
      <c r="A143" s="112">
        <v>146</v>
      </c>
      <c r="B143" s="112"/>
      <c r="C143" s="112"/>
      <c r="D143" s="452">
        <v>146</v>
      </c>
      <c r="E143" s="112"/>
      <c r="F143" s="450" t="s">
        <v>308</v>
      </c>
      <c r="G143" s="112"/>
      <c r="H143" s="456">
        <f>300*F131</f>
        <v>1200000</v>
      </c>
      <c r="I143" s="458"/>
      <c r="J143" s="458"/>
      <c r="K143" s="458"/>
      <c r="L143" s="456"/>
      <c r="M143" s="456"/>
      <c r="N143" s="456"/>
      <c r="O143" s="456"/>
      <c r="P143" s="112"/>
      <c r="Q143" s="4"/>
      <c r="R143" s="4"/>
      <c r="S143" s="4"/>
      <c r="T143" s="4"/>
      <c r="U143" s="4"/>
      <c r="V143" s="4"/>
      <c r="W143" s="4"/>
      <c r="X143" s="4"/>
    </row>
    <row r="144" spans="1:24" ht="12.75">
      <c r="A144" s="112">
        <v>147</v>
      </c>
      <c r="B144" s="112"/>
      <c r="C144" s="112"/>
      <c r="D144" s="452">
        <v>147</v>
      </c>
      <c r="E144" s="112"/>
      <c r="F144" s="450" t="s">
        <v>260</v>
      </c>
      <c r="G144" s="112"/>
      <c r="H144" s="456">
        <f>N145</f>
        <v>530000</v>
      </c>
      <c r="I144" s="458"/>
      <c r="J144" s="458"/>
      <c r="K144" s="458"/>
      <c r="L144" s="456"/>
      <c r="M144" s="462"/>
      <c r="N144" s="462"/>
      <c r="O144" s="462"/>
      <c r="P144" s="112"/>
      <c r="Q144" s="4"/>
      <c r="R144" s="4"/>
      <c r="S144" s="4"/>
      <c r="T144" s="4"/>
      <c r="U144" s="4"/>
      <c r="V144" s="4"/>
      <c r="W144" s="4"/>
      <c r="X144" s="4"/>
    </row>
    <row r="145" spans="1:24" ht="12.75">
      <c r="A145" s="112">
        <v>148</v>
      </c>
      <c r="B145" s="112"/>
      <c r="C145" s="112"/>
      <c r="D145" s="450">
        <v>148</v>
      </c>
      <c r="E145" s="112"/>
      <c r="F145" s="460" t="s">
        <v>105</v>
      </c>
      <c r="G145" s="113"/>
      <c r="H145" s="459">
        <f>SUM(H142:H144)</f>
        <v>4342000</v>
      </c>
      <c r="I145" s="458"/>
      <c r="J145" s="458"/>
      <c r="K145" s="458"/>
      <c r="L145" s="458"/>
      <c r="M145" s="463">
        <f>SUM(M138:M141)</f>
        <v>471400</v>
      </c>
      <c r="N145" s="463">
        <f>SUM(N138:N141)</f>
        <v>530000</v>
      </c>
      <c r="O145" s="463">
        <f>SUM(O138:O141)</f>
        <v>435000</v>
      </c>
      <c r="P145" s="112"/>
      <c r="Q145" s="4"/>
      <c r="R145" s="4"/>
      <c r="S145" s="4"/>
      <c r="T145" s="4"/>
      <c r="U145" s="4"/>
      <c r="V145" s="4"/>
      <c r="W145" s="4"/>
      <c r="X145" s="4"/>
    </row>
    <row r="146" spans="1:24" ht="12.75">
      <c r="A146" s="112">
        <v>149</v>
      </c>
      <c r="B146" s="112"/>
      <c r="C146" s="112"/>
      <c r="D146" s="450">
        <v>149</v>
      </c>
      <c r="E146" s="112"/>
      <c r="F146" s="450" t="s">
        <v>318</v>
      </c>
      <c r="G146" s="112"/>
      <c r="H146" s="456">
        <f>653*F133</f>
        <v>1959000</v>
      </c>
      <c r="I146" s="458"/>
      <c r="J146" s="458"/>
      <c r="K146" s="458"/>
      <c r="L146" s="458"/>
      <c r="M146" s="458"/>
      <c r="N146" s="458"/>
      <c r="O146" s="458"/>
      <c r="P146" s="112"/>
      <c r="Q146" s="4"/>
      <c r="R146" s="4"/>
      <c r="S146" s="4"/>
      <c r="T146" s="4"/>
      <c r="U146" s="4"/>
      <c r="V146" s="4"/>
      <c r="W146" s="4"/>
      <c r="X146" s="4"/>
    </row>
    <row r="147" spans="1:24" ht="12.75">
      <c r="A147" s="112">
        <v>150</v>
      </c>
      <c r="B147" s="112"/>
      <c r="C147" s="112"/>
      <c r="D147" s="450">
        <v>150</v>
      </c>
      <c r="E147" s="112"/>
      <c r="F147" s="450" t="s">
        <v>308</v>
      </c>
      <c r="G147" s="112"/>
      <c r="H147" s="456">
        <f>300*F133</f>
        <v>900000</v>
      </c>
      <c r="I147" s="458"/>
      <c r="J147" s="458"/>
      <c r="K147" s="458"/>
      <c r="L147" s="458"/>
      <c r="M147" s="458">
        <f>M141/3400</f>
        <v>94.52941176470588</v>
      </c>
      <c r="N147" s="458"/>
      <c r="O147" s="458"/>
      <c r="P147" s="112"/>
      <c r="Q147" s="4"/>
      <c r="R147" s="4"/>
      <c r="S147" s="4"/>
      <c r="T147" s="4"/>
      <c r="U147" s="4"/>
      <c r="V147" s="4"/>
      <c r="W147" s="4"/>
      <c r="X147" s="4"/>
    </row>
    <row r="148" spans="1:24" ht="12.75">
      <c r="A148" s="112">
        <v>151</v>
      </c>
      <c r="B148" s="112"/>
      <c r="C148" s="112"/>
      <c r="D148" s="450">
        <v>151</v>
      </c>
      <c r="E148" s="112"/>
      <c r="F148" s="450" t="s">
        <v>260</v>
      </c>
      <c r="G148" s="112"/>
      <c r="H148" s="456">
        <f>O145</f>
        <v>435000</v>
      </c>
      <c r="I148" s="458"/>
      <c r="J148" s="458"/>
      <c r="K148" s="458"/>
      <c r="L148" s="458"/>
      <c r="M148" s="458"/>
      <c r="N148" s="458"/>
      <c r="O148" s="458"/>
      <c r="P148" s="112"/>
      <c r="Q148" s="4"/>
      <c r="R148" s="4"/>
      <c r="S148" s="4"/>
      <c r="T148" s="4"/>
      <c r="U148" s="4"/>
      <c r="V148" s="4"/>
      <c r="W148" s="4"/>
      <c r="X148" s="4"/>
    </row>
    <row r="149" spans="1:24" ht="12.75">
      <c r="A149" s="112">
        <v>152</v>
      </c>
      <c r="B149" s="461"/>
      <c r="C149" s="112"/>
      <c r="D149" s="450">
        <v>152</v>
      </c>
      <c r="E149" s="112"/>
      <c r="F149" s="460" t="s">
        <v>105</v>
      </c>
      <c r="G149" s="113"/>
      <c r="H149" s="459">
        <f>SUM(H146:H148)</f>
        <v>3294000</v>
      </c>
      <c r="I149" s="112"/>
      <c r="J149" s="112"/>
      <c r="K149" s="112"/>
      <c r="L149" s="112"/>
      <c r="M149" s="112"/>
      <c r="N149" s="112"/>
      <c r="O149" s="112"/>
      <c r="P149" s="112"/>
      <c r="Q149" s="4"/>
      <c r="R149" s="4"/>
      <c r="S149" s="4"/>
      <c r="T149" s="4"/>
      <c r="U149" s="4"/>
      <c r="V149" s="4"/>
      <c r="W149" s="4"/>
      <c r="X149" s="4"/>
    </row>
    <row r="155" spans="9:13" ht="12.75">
      <c r="I155" s="2"/>
      <c r="J155" s="129"/>
      <c r="K155" s="130"/>
      <c r="L155" s="130"/>
      <c r="M155" s="130"/>
    </row>
    <row r="156" spans="9:13" ht="12.75">
      <c r="I156" s="131"/>
      <c r="J156" s="130"/>
      <c r="K156" s="2"/>
      <c r="L156" s="2"/>
      <c r="M156" s="2"/>
    </row>
    <row r="157" spans="9:13" ht="12.75">
      <c r="I157" s="132"/>
      <c r="J157" s="130"/>
      <c r="K157" s="2"/>
      <c r="L157" s="2"/>
      <c r="M157" s="2"/>
    </row>
  </sheetData>
  <sheetProtection password="CE3F" sheet="1" selectLockedCells="1" selectUnlockedCells="1"/>
  <mergeCells count="5">
    <mergeCell ref="D7:F7"/>
    <mergeCell ref="C3:H3"/>
    <mergeCell ref="C4:H4"/>
    <mergeCell ref="C5:H5"/>
    <mergeCell ref="D1:F1"/>
  </mergeCells>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I104"/>
  <sheetViews>
    <sheetView zoomScalePageLayoutView="0" workbookViewId="0" topLeftCell="C1">
      <selection activeCell="K6" sqref="K6"/>
    </sheetView>
  </sheetViews>
  <sheetFormatPr defaultColWidth="9.140625" defaultRowHeight="12.75"/>
  <cols>
    <col min="1" max="3" width="3.140625" style="0" customWidth="1"/>
    <col min="4" max="4" width="37.421875" style="0" customWidth="1"/>
    <col min="5" max="5" width="11.8515625" style="0" customWidth="1"/>
    <col min="6" max="6" width="3.140625" style="0" customWidth="1"/>
    <col min="7" max="7" width="12.00390625" style="0" customWidth="1"/>
    <col min="8" max="8" width="3.28125" style="0" customWidth="1"/>
    <col min="9" max="9" width="13.00390625" style="0" customWidth="1"/>
    <col min="10" max="10" width="3.421875" style="0" customWidth="1"/>
    <col min="11" max="11" width="13.8515625" style="0" customWidth="1"/>
    <col min="12" max="12" width="2.00390625" style="0" customWidth="1"/>
    <col min="13" max="13" width="9.28125" style="0" customWidth="1"/>
    <col min="14" max="14" width="2.28125" style="0" customWidth="1"/>
    <col min="15" max="15" width="10.140625" style="0" customWidth="1"/>
    <col min="16" max="16" width="3.140625" style="0" customWidth="1"/>
    <col min="17" max="17" width="10.140625" style="0" customWidth="1"/>
    <col min="18" max="18" width="3.28125" style="0" customWidth="1"/>
    <col min="19" max="19" width="3.00390625" style="0" customWidth="1"/>
    <col min="20" max="20" width="3.421875" style="0" customWidth="1"/>
  </cols>
  <sheetData>
    <row r="1" spans="1:35"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2.75">
      <c r="A2" s="4"/>
      <c r="B2" s="12"/>
      <c r="C2" s="12"/>
      <c r="D2" s="12"/>
      <c r="E2" s="12"/>
      <c r="F2" s="12"/>
      <c r="G2" s="12"/>
      <c r="H2" s="12"/>
      <c r="I2" s="12"/>
      <c r="J2" s="12"/>
      <c r="K2" s="12"/>
      <c r="L2" s="12"/>
      <c r="M2" s="12"/>
      <c r="N2" s="12"/>
      <c r="O2" s="12"/>
      <c r="P2" s="12"/>
      <c r="Q2" s="12"/>
      <c r="R2" s="12"/>
      <c r="S2" s="12"/>
      <c r="T2" s="4"/>
      <c r="U2" s="4"/>
      <c r="V2" s="4"/>
      <c r="W2" s="4"/>
      <c r="X2" s="4"/>
      <c r="Y2" s="4"/>
      <c r="Z2" s="4"/>
      <c r="AA2" s="4"/>
      <c r="AB2" s="4"/>
      <c r="AC2" s="4"/>
      <c r="AD2" s="4"/>
      <c r="AE2" s="4"/>
      <c r="AF2" s="4"/>
      <c r="AG2" s="4"/>
      <c r="AH2" s="4"/>
      <c r="AI2" s="4"/>
    </row>
    <row r="3" spans="1:35" ht="12.75">
      <c r="A3" s="4"/>
      <c r="B3" s="12"/>
      <c r="C3" s="4"/>
      <c r="D3" s="4"/>
      <c r="E3" s="4"/>
      <c r="F3" s="4"/>
      <c r="G3" s="4"/>
      <c r="H3" s="4"/>
      <c r="I3" s="4"/>
      <c r="J3" s="4"/>
      <c r="K3" s="4"/>
      <c r="L3" s="4"/>
      <c r="M3" s="4"/>
      <c r="N3" s="4"/>
      <c r="O3" s="4"/>
      <c r="P3" s="4"/>
      <c r="Q3" s="4"/>
      <c r="R3" s="4"/>
      <c r="S3" s="12"/>
      <c r="T3" s="4"/>
      <c r="U3" s="4"/>
      <c r="V3" s="4"/>
      <c r="W3" s="4"/>
      <c r="X3" s="4"/>
      <c r="Y3" s="4"/>
      <c r="Z3" s="4"/>
      <c r="AA3" s="4"/>
      <c r="AB3" s="4"/>
      <c r="AC3" s="4"/>
      <c r="AD3" s="4"/>
      <c r="AE3" s="4"/>
      <c r="AF3" s="4"/>
      <c r="AG3" s="4"/>
      <c r="AH3" s="4"/>
      <c r="AI3" s="4"/>
    </row>
    <row r="4" spans="1:35" ht="12.75">
      <c r="A4" s="4"/>
      <c r="B4" s="12"/>
      <c r="C4" s="4"/>
      <c r="D4" s="4"/>
      <c r="E4" s="4"/>
      <c r="F4" s="4"/>
      <c r="G4" s="4"/>
      <c r="H4" s="4"/>
      <c r="I4" s="4"/>
      <c r="J4" s="4"/>
      <c r="K4" s="4"/>
      <c r="L4" s="4"/>
      <c r="M4" s="93" t="s">
        <v>505</v>
      </c>
      <c r="N4" s="93"/>
      <c r="O4" s="93"/>
      <c r="P4" s="4"/>
      <c r="Q4" s="4"/>
      <c r="R4" s="4"/>
      <c r="S4" s="12"/>
      <c r="T4" s="4"/>
      <c r="U4" s="4"/>
      <c r="V4" s="4"/>
      <c r="W4" s="4"/>
      <c r="X4" s="4"/>
      <c r="Y4" s="4"/>
      <c r="Z4" s="4"/>
      <c r="AA4" s="4"/>
      <c r="AB4" s="4"/>
      <c r="AC4" s="4"/>
      <c r="AD4" s="4"/>
      <c r="AE4" s="4"/>
      <c r="AF4" s="4"/>
      <c r="AG4" s="4"/>
      <c r="AH4" s="4"/>
      <c r="AI4" s="4"/>
    </row>
    <row r="5" spans="1:35" ht="12.75">
      <c r="A5" s="4"/>
      <c r="B5" s="12"/>
      <c r="C5" s="4"/>
      <c r="D5" s="94"/>
      <c r="E5" s="4"/>
      <c r="F5" s="4"/>
      <c r="G5" s="4"/>
      <c r="H5" s="4"/>
      <c r="I5" s="94"/>
      <c r="J5" s="4"/>
      <c r="K5" s="94"/>
      <c r="L5" s="94"/>
      <c r="M5" s="93"/>
      <c r="N5" s="94"/>
      <c r="O5" s="484" t="s">
        <v>506</v>
      </c>
      <c r="P5" s="484"/>
      <c r="Q5" s="484" t="s">
        <v>507</v>
      </c>
      <c r="R5" s="94"/>
      <c r="S5" s="12"/>
      <c r="T5" s="4"/>
      <c r="U5" s="4"/>
      <c r="V5" s="4"/>
      <c r="W5" s="4"/>
      <c r="X5" s="4"/>
      <c r="Y5" s="4"/>
      <c r="Z5" s="4"/>
      <c r="AA5" s="4"/>
      <c r="AB5" s="4"/>
      <c r="AC5" s="4"/>
      <c r="AD5" s="4"/>
      <c r="AE5" s="4"/>
      <c r="AF5" s="4"/>
      <c r="AG5" s="4"/>
      <c r="AH5" s="4"/>
      <c r="AI5" s="4"/>
    </row>
    <row r="6" spans="1:35" ht="12.75">
      <c r="A6" s="4"/>
      <c r="B6" s="12"/>
      <c r="C6" s="4"/>
      <c r="D6" s="278" t="s">
        <v>465</v>
      </c>
      <c r="E6" s="279"/>
      <c r="F6" s="279"/>
      <c r="G6" s="279"/>
      <c r="H6" s="279"/>
      <c r="I6" s="375"/>
      <c r="J6" s="4"/>
      <c r="K6" s="485">
        <v>0</v>
      </c>
      <c r="L6" s="4"/>
      <c r="M6" s="93" t="s">
        <v>87</v>
      </c>
      <c r="N6" s="4"/>
      <c r="O6" s="486">
        <f>SUM(Task_3_Canadian_Sales_Forecasts!M30)</f>
        <v>74816</v>
      </c>
      <c r="P6" s="4"/>
      <c r="Q6" s="486">
        <f>SUM(Task_3_Canadian_Sales_Forecasts!M57)</f>
        <v>109816</v>
      </c>
      <c r="R6" s="4"/>
      <c r="S6" s="12"/>
      <c r="T6" s="4"/>
      <c r="U6" s="4"/>
      <c r="V6" s="4"/>
      <c r="W6" s="4"/>
      <c r="X6" s="4"/>
      <c r="Y6" s="4"/>
      <c r="Z6" s="4"/>
      <c r="AA6" s="4"/>
      <c r="AB6" s="4"/>
      <c r="AC6" s="4"/>
      <c r="AD6" s="4"/>
      <c r="AE6" s="4"/>
      <c r="AF6" s="4"/>
      <c r="AG6" s="4"/>
      <c r="AH6" s="4"/>
      <c r="AI6" s="4"/>
    </row>
    <row r="7" spans="1:35" ht="12.75">
      <c r="A7" s="4"/>
      <c r="B7" s="12"/>
      <c r="C7" s="4"/>
      <c r="D7" s="4"/>
      <c r="E7" s="4"/>
      <c r="F7" s="4"/>
      <c r="G7" s="4"/>
      <c r="H7" s="4"/>
      <c r="I7" s="4"/>
      <c r="J7" s="4"/>
      <c r="K7" s="4"/>
      <c r="L7" s="4"/>
      <c r="M7" s="93" t="s">
        <v>132</v>
      </c>
      <c r="N7" s="4"/>
      <c r="O7" s="486">
        <f>SUM(Task_3_Canadian_Sales_Forecasts!K30)</f>
        <v>84714.15999999997</v>
      </c>
      <c r="P7" s="4"/>
      <c r="Q7" s="486">
        <f>SUM(Task_3_Canadian_Sales_Forecasts!K57)</f>
        <v>128813.7599999999</v>
      </c>
      <c r="R7" s="4"/>
      <c r="S7" s="12"/>
      <c r="T7" s="4"/>
      <c r="U7" s="4"/>
      <c r="V7" s="4"/>
      <c r="W7" s="4"/>
      <c r="X7" s="4"/>
      <c r="Y7" s="4"/>
      <c r="Z7" s="4"/>
      <c r="AA7" s="4"/>
      <c r="AB7" s="4"/>
      <c r="AC7" s="4"/>
      <c r="AD7" s="4"/>
      <c r="AE7" s="4"/>
      <c r="AF7" s="4"/>
      <c r="AG7" s="4"/>
      <c r="AH7" s="4"/>
      <c r="AI7" s="4"/>
    </row>
    <row r="8" spans="1:35" ht="12.75">
      <c r="A8" s="4"/>
      <c r="B8" s="12"/>
      <c r="C8" s="4"/>
      <c r="D8" s="93" t="s">
        <v>500</v>
      </c>
      <c r="E8" s="4"/>
      <c r="F8" s="4"/>
      <c r="G8" s="4"/>
      <c r="H8" s="4"/>
      <c r="I8" s="4"/>
      <c r="J8" s="4"/>
      <c r="K8" s="4"/>
      <c r="L8" s="4"/>
      <c r="M8" s="93" t="s">
        <v>88</v>
      </c>
      <c r="N8" s="4"/>
      <c r="O8" s="486">
        <f>SUM(Task_3_Canadian_Sales_Forecasts!I30)</f>
        <v>94501.30159999995</v>
      </c>
      <c r="P8" s="4"/>
      <c r="Q8" s="486">
        <f>SUM(Task_3_Canadian_Sales_Forecasts!I57)</f>
        <v>148159.56759999983</v>
      </c>
      <c r="R8" s="4"/>
      <c r="S8" s="12"/>
      <c r="T8" s="4"/>
      <c r="U8" s="4"/>
      <c r="V8" s="4"/>
      <c r="W8" s="4"/>
      <c r="X8" s="4"/>
      <c r="Y8" s="4"/>
      <c r="Z8" s="4"/>
      <c r="AA8" s="4"/>
      <c r="AB8" s="4"/>
      <c r="AC8" s="4"/>
      <c r="AD8" s="4"/>
      <c r="AE8" s="4"/>
      <c r="AF8" s="4"/>
      <c r="AG8" s="4"/>
      <c r="AH8" s="4"/>
      <c r="AI8" s="4"/>
    </row>
    <row r="9" spans="1:35" ht="12.75">
      <c r="A9" s="4"/>
      <c r="B9" s="12"/>
      <c r="C9" s="4"/>
      <c r="D9" s="4"/>
      <c r="E9" s="4"/>
      <c r="F9" s="4"/>
      <c r="G9" s="4"/>
      <c r="H9" s="4"/>
      <c r="I9" s="4"/>
      <c r="J9" s="4"/>
      <c r="K9" s="4"/>
      <c r="L9" s="4"/>
      <c r="M9" s="93" t="s">
        <v>133</v>
      </c>
      <c r="N9" s="4"/>
      <c r="O9" s="486">
        <f>SUM(Task_3_Canadian_Sales_Forecasts!G30)</f>
        <v>106872.202632</v>
      </c>
      <c r="P9" s="4"/>
      <c r="Q9" s="486">
        <f>SUM(Task_3_Canadian_Sales_Forecasts!G57)</f>
        <v>169567.54597999976</v>
      </c>
      <c r="R9" s="4"/>
      <c r="S9" s="12"/>
      <c r="T9" s="4"/>
      <c r="U9" s="4"/>
      <c r="V9" s="4"/>
      <c r="W9" s="4"/>
      <c r="X9" s="4"/>
      <c r="Y9" s="4"/>
      <c r="Z9" s="4"/>
      <c r="AA9" s="4"/>
      <c r="AB9" s="4"/>
      <c r="AC9" s="4"/>
      <c r="AD9" s="4"/>
      <c r="AE9" s="4"/>
      <c r="AF9" s="4"/>
      <c r="AG9" s="4"/>
      <c r="AH9" s="4"/>
      <c r="AI9" s="4"/>
    </row>
    <row r="10" spans="1:35" ht="12.75">
      <c r="A10" s="4"/>
      <c r="B10" s="12"/>
      <c r="C10" s="4"/>
      <c r="D10" s="4"/>
      <c r="E10" s="4"/>
      <c r="F10" s="4"/>
      <c r="G10" s="4"/>
      <c r="H10" s="4"/>
      <c r="I10" s="4"/>
      <c r="J10" s="4"/>
      <c r="K10" s="4"/>
      <c r="L10" s="4"/>
      <c r="M10" s="93" t="s">
        <v>89</v>
      </c>
      <c r="N10" s="4"/>
      <c r="O10" s="486">
        <f>SUM(Task_3_Canadian_Sales_Forecasts!E30)</f>
        <v>109199.56543464004</v>
      </c>
      <c r="P10" s="4"/>
      <c r="Q10" s="486">
        <f>SUM(Task_3_Canadian_Sales_Forecasts!E57)</f>
        <v>181545.92327899975</v>
      </c>
      <c r="R10" s="4"/>
      <c r="S10" s="12"/>
      <c r="T10" s="4"/>
      <c r="U10" s="4"/>
      <c r="V10" s="4"/>
      <c r="W10" s="4"/>
      <c r="X10" s="4"/>
      <c r="Y10" s="4"/>
      <c r="Z10" s="4"/>
      <c r="AA10" s="4"/>
      <c r="AB10" s="4"/>
      <c r="AC10" s="4"/>
      <c r="AD10" s="4"/>
      <c r="AE10" s="4"/>
      <c r="AF10" s="4"/>
      <c r="AG10" s="4"/>
      <c r="AH10" s="4"/>
      <c r="AI10" s="4"/>
    </row>
    <row r="11" spans="1:35" ht="12.75">
      <c r="A11" s="4"/>
      <c r="B11" s="12"/>
      <c r="C11" s="4"/>
      <c r="D11" s="4"/>
      <c r="E11" s="4"/>
      <c r="F11" s="4"/>
      <c r="G11" s="4"/>
      <c r="H11" s="4"/>
      <c r="I11" s="4"/>
      <c r="J11" s="4"/>
      <c r="K11" s="4"/>
      <c r="L11" s="4"/>
      <c r="M11" s="93"/>
      <c r="N11" s="4"/>
      <c r="O11" s="4"/>
      <c r="P11" s="4"/>
      <c r="Q11" s="4"/>
      <c r="R11" s="4"/>
      <c r="S11" s="12"/>
      <c r="T11" s="4"/>
      <c r="U11" s="4"/>
      <c r="V11" s="4"/>
      <c r="W11" s="4"/>
      <c r="X11" s="4"/>
      <c r="Y11" s="4"/>
      <c r="Z11" s="4"/>
      <c r="AA11" s="4"/>
      <c r="AB11" s="4"/>
      <c r="AC11" s="4"/>
      <c r="AD11" s="4"/>
      <c r="AE11" s="4"/>
      <c r="AF11" s="4"/>
      <c r="AG11" s="4"/>
      <c r="AH11" s="4"/>
      <c r="AI11" s="4"/>
    </row>
    <row r="12" spans="1:35" ht="12.75">
      <c r="A12" s="4"/>
      <c r="B12" s="12"/>
      <c r="C12" s="4"/>
      <c r="D12" s="4"/>
      <c r="E12" s="4"/>
      <c r="F12" s="4"/>
      <c r="G12" s="345" t="s">
        <v>454</v>
      </c>
      <c r="H12" s="4"/>
      <c r="I12" s="368">
        <v>0.2</v>
      </c>
      <c r="J12" s="4"/>
      <c r="K12" s="368">
        <v>0.4</v>
      </c>
      <c r="L12" s="4"/>
      <c r="M12" s="368">
        <v>0.6</v>
      </c>
      <c r="N12" s="4"/>
      <c r="O12" s="4"/>
      <c r="P12" s="4"/>
      <c r="Q12" s="4"/>
      <c r="R12" s="4"/>
      <c r="S12" s="12"/>
      <c r="T12" s="4"/>
      <c r="U12" s="4"/>
      <c r="V12" s="4"/>
      <c r="W12" s="4"/>
      <c r="X12" s="4"/>
      <c r="Y12" s="4"/>
      <c r="Z12" s="4"/>
      <c r="AA12" s="4"/>
      <c r="AB12" s="4"/>
      <c r="AC12" s="4"/>
      <c r="AD12" s="4"/>
      <c r="AE12" s="4"/>
      <c r="AF12" s="4"/>
      <c r="AG12" s="4"/>
      <c r="AH12" s="4"/>
      <c r="AI12" s="4"/>
    </row>
    <row r="13" spans="1:35" ht="12.75">
      <c r="A13" s="4"/>
      <c r="B13" s="12"/>
      <c r="C13" s="4"/>
      <c r="D13" s="93" t="s">
        <v>172</v>
      </c>
      <c r="E13" s="92"/>
      <c r="F13" s="92"/>
      <c r="G13" s="345" t="s">
        <v>456</v>
      </c>
      <c r="H13" s="92"/>
      <c r="I13" s="345" t="s">
        <v>451</v>
      </c>
      <c r="J13" s="4"/>
      <c r="K13" s="345" t="s">
        <v>451</v>
      </c>
      <c r="L13" s="4"/>
      <c r="M13" s="345" t="s">
        <v>451</v>
      </c>
      <c r="N13" s="4"/>
      <c r="O13" s="4"/>
      <c r="P13" s="4"/>
      <c r="Q13" s="4"/>
      <c r="R13" s="4"/>
      <c r="S13" s="12"/>
      <c r="T13" s="4"/>
      <c r="U13" s="4"/>
      <c r="V13" s="4"/>
      <c r="W13" s="4"/>
      <c r="X13" s="4"/>
      <c r="Y13" s="4"/>
      <c r="Z13" s="4"/>
      <c r="AA13" s="4"/>
      <c r="AB13" s="4"/>
      <c r="AC13" s="4"/>
      <c r="AD13" s="4"/>
      <c r="AE13" s="4"/>
      <c r="AF13" s="4"/>
      <c r="AG13" s="4"/>
      <c r="AH13" s="4"/>
      <c r="AI13" s="4"/>
    </row>
    <row r="14" spans="1:35" ht="12.75">
      <c r="A14" s="4"/>
      <c r="B14" s="12"/>
      <c r="C14" s="4"/>
      <c r="D14" s="94"/>
      <c r="E14" s="346" t="s">
        <v>450</v>
      </c>
      <c r="F14" s="92"/>
      <c r="G14" s="346" t="s">
        <v>455</v>
      </c>
      <c r="H14" s="92"/>
      <c r="I14" s="346" t="s">
        <v>452</v>
      </c>
      <c r="J14" s="4"/>
      <c r="K14" s="346" t="s">
        <v>452</v>
      </c>
      <c r="L14" s="4"/>
      <c r="M14" s="346" t="s">
        <v>452</v>
      </c>
      <c r="N14" s="4"/>
      <c r="O14" s="4"/>
      <c r="P14" s="4"/>
      <c r="Q14" s="4"/>
      <c r="R14" s="4"/>
      <c r="S14" s="12"/>
      <c r="T14" s="4"/>
      <c r="U14" s="4"/>
      <c r="V14" s="4"/>
      <c r="W14" s="4"/>
      <c r="X14" s="4"/>
      <c r="Y14" s="4"/>
      <c r="Z14" s="4"/>
      <c r="AA14" s="4"/>
      <c r="AB14" s="4"/>
      <c r="AC14" s="4"/>
      <c r="AD14" s="4"/>
      <c r="AE14" s="4"/>
      <c r="AF14" s="4"/>
      <c r="AG14" s="4"/>
      <c r="AH14" s="4"/>
      <c r="AI14" s="4"/>
    </row>
    <row r="15" spans="1:35" ht="12.75">
      <c r="A15" s="4"/>
      <c r="B15" s="12"/>
      <c r="C15" s="4"/>
      <c r="D15" s="94" t="s">
        <v>173</v>
      </c>
      <c r="E15" s="142">
        <v>600000</v>
      </c>
      <c r="F15" s="111"/>
      <c r="G15" s="142"/>
      <c r="H15" s="111"/>
      <c r="I15" s="142">
        <f>600000*0.2</f>
        <v>120000</v>
      </c>
      <c r="J15" s="27"/>
      <c r="K15" s="142">
        <f>E15*0.4</f>
        <v>240000</v>
      </c>
      <c r="L15" s="27"/>
      <c r="M15" s="142">
        <f>E15*0.6</f>
        <v>360000</v>
      </c>
      <c r="N15" s="4"/>
      <c r="O15" s="4"/>
      <c r="P15" s="4"/>
      <c r="Q15" s="4"/>
      <c r="R15" s="4"/>
      <c r="S15" s="12"/>
      <c r="T15" s="4"/>
      <c r="U15" s="4"/>
      <c r="V15" s="4"/>
      <c r="W15" s="4"/>
      <c r="X15" s="4"/>
      <c r="Y15" s="4"/>
      <c r="Z15" s="4"/>
      <c r="AA15" s="4"/>
      <c r="AB15" s="4"/>
      <c r="AC15" s="4"/>
      <c r="AD15" s="4"/>
      <c r="AE15" s="4"/>
      <c r="AF15" s="4"/>
      <c r="AG15" s="4"/>
      <c r="AH15" s="4"/>
      <c r="AI15" s="4"/>
    </row>
    <row r="16" spans="1:35" ht="12.75">
      <c r="A16" s="4"/>
      <c r="B16" s="12"/>
      <c r="C16" s="4"/>
      <c r="D16" s="94" t="s">
        <v>174</v>
      </c>
      <c r="E16" s="142"/>
      <c r="F16" s="111"/>
      <c r="G16" s="142">
        <v>300000</v>
      </c>
      <c r="H16" s="111"/>
      <c r="I16" s="142"/>
      <c r="J16" s="27"/>
      <c r="K16" s="142"/>
      <c r="L16" s="27"/>
      <c r="M16" s="142"/>
      <c r="N16" s="4"/>
      <c r="O16" s="4"/>
      <c r="P16" s="4"/>
      <c r="Q16" s="4"/>
      <c r="R16" s="4"/>
      <c r="S16" s="12"/>
      <c r="T16" s="4"/>
      <c r="U16" s="4"/>
      <c r="V16" s="4"/>
      <c r="W16" s="4"/>
      <c r="X16" s="4"/>
      <c r="Y16" s="4"/>
      <c r="Z16" s="4"/>
      <c r="AA16" s="4"/>
      <c r="AB16" s="4"/>
      <c r="AC16" s="4"/>
      <c r="AD16" s="4"/>
      <c r="AE16" s="4"/>
      <c r="AF16" s="4"/>
      <c r="AG16" s="4"/>
      <c r="AH16" s="4"/>
      <c r="AI16" s="4"/>
    </row>
    <row r="17" spans="1:35" ht="12.75">
      <c r="A17" s="4"/>
      <c r="B17" s="12"/>
      <c r="C17" s="4"/>
      <c r="D17" s="94" t="s">
        <v>175</v>
      </c>
      <c r="E17" s="142"/>
      <c r="F17" s="111"/>
      <c r="G17" s="142">
        <v>300000</v>
      </c>
      <c r="H17" s="143"/>
      <c r="I17" s="142">
        <f>E15-I15</f>
        <v>480000</v>
      </c>
      <c r="J17" s="27"/>
      <c r="K17" s="142">
        <f>E15-K15</f>
        <v>360000</v>
      </c>
      <c r="L17" s="27"/>
      <c r="M17" s="142">
        <f>E15-M15</f>
        <v>240000</v>
      </c>
      <c r="N17" s="4"/>
      <c r="O17" s="4"/>
      <c r="P17" s="4"/>
      <c r="Q17" s="4"/>
      <c r="R17" s="4"/>
      <c r="S17" s="12"/>
      <c r="T17" s="4"/>
      <c r="U17" s="4"/>
      <c r="V17" s="4"/>
      <c r="W17" s="4"/>
      <c r="X17" s="4"/>
      <c r="Y17" s="4"/>
      <c r="Z17" s="4"/>
      <c r="AA17" s="4"/>
      <c r="AB17" s="4"/>
      <c r="AC17" s="4"/>
      <c r="AD17" s="4"/>
      <c r="AE17" s="4"/>
      <c r="AF17" s="4"/>
      <c r="AG17" s="4"/>
      <c r="AH17" s="4"/>
      <c r="AI17" s="4"/>
    </row>
    <row r="18" spans="1:35" ht="13.5" thickBot="1">
      <c r="A18" s="4"/>
      <c r="B18" s="12"/>
      <c r="C18" s="4"/>
      <c r="D18" s="94" t="s">
        <v>105</v>
      </c>
      <c r="E18" s="144">
        <f>SUM(E15:E17)</f>
        <v>600000</v>
      </c>
      <c r="F18" s="143"/>
      <c r="G18" s="144">
        <f>SUM(G15:G17)</f>
        <v>600000</v>
      </c>
      <c r="H18" s="143"/>
      <c r="I18" s="144">
        <f>SUM(I15:I17)</f>
        <v>600000</v>
      </c>
      <c r="J18" s="27"/>
      <c r="K18" s="144">
        <f>SUM(K15:K17)</f>
        <v>600000</v>
      </c>
      <c r="L18" s="27"/>
      <c r="M18" s="144">
        <f>SUM(M15:M17)</f>
        <v>600000</v>
      </c>
      <c r="N18" s="4"/>
      <c r="O18" s="4"/>
      <c r="P18" s="4"/>
      <c r="Q18" s="4"/>
      <c r="R18" s="4"/>
      <c r="S18" s="12"/>
      <c r="T18" s="4"/>
      <c r="U18" s="4"/>
      <c r="V18" s="4"/>
      <c r="W18" s="4"/>
      <c r="X18" s="4"/>
      <c r="Y18" s="4"/>
      <c r="Z18" s="4"/>
      <c r="AA18" s="4"/>
      <c r="AB18" s="4"/>
      <c r="AC18" s="4"/>
      <c r="AD18" s="4"/>
      <c r="AE18" s="4"/>
      <c r="AF18" s="4"/>
      <c r="AG18" s="4"/>
      <c r="AH18" s="4"/>
      <c r="AI18" s="4"/>
    </row>
    <row r="19" spans="1:35" ht="13.5" thickTop="1">
      <c r="A19" s="4"/>
      <c r="B19" s="12"/>
      <c r="C19" s="4"/>
      <c r="D19" s="94"/>
      <c r="E19" s="111"/>
      <c r="F19" s="143"/>
      <c r="G19" s="111"/>
      <c r="H19" s="111"/>
      <c r="I19" s="111"/>
      <c r="J19" s="27"/>
      <c r="K19" s="111"/>
      <c r="L19" s="27"/>
      <c r="M19" s="111"/>
      <c r="N19" s="4"/>
      <c r="O19" s="4"/>
      <c r="P19" s="4"/>
      <c r="Q19" s="4"/>
      <c r="R19" s="4"/>
      <c r="S19" s="12"/>
      <c r="T19" s="4"/>
      <c r="U19" s="4"/>
      <c r="V19" s="4"/>
      <c r="W19" s="4"/>
      <c r="X19" s="4"/>
      <c r="Y19" s="4"/>
      <c r="Z19" s="4"/>
      <c r="AA19" s="4"/>
      <c r="AB19" s="4"/>
      <c r="AC19" s="4"/>
      <c r="AD19" s="4"/>
      <c r="AE19" s="4"/>
      <c r="AF19" s="4"/>
      <c r="AG19" s="4"/>
      <c r="AH19" s="4"/>
      <c r="AI19" s="4"/>
    </row>
    <row r="20" spans="1:35" ht="13.5" thickBot="1">
      <c r="A20" s="4"/>
      <c r="B20" s="12"/>
      <c r="C20" s="4"/>
      <c r="D20" s="94" t="s">
        <v>176</v>
      </c>
      <c r="E20" s="296">
        <f>K6</f>
        <v>0</v>
      </c>
      <c r="F20" s="143"/>
      <c r="G20" s="296">
        <f>K6</f>
        <v>0</v>
      </c>
      <c r="H20" s="143"/>
      <c r="I20" s="296">
        <f>K6</f>
        <v>0</v>
      </c>
      <c r="J20" s="111"/>
      <c r="K20" s="296">
        <f>K6</f>
        <v>0</v>
      </c>
      <c r="L20" s="143"/>
      <c r="M20" s="296">
        <f>K6</f>
        <v>0</v>
      </c>
      <c r="N20" s="4"/>
      <c r="O20" s="4"/>
      <c r="P20" s="4"/>
      <c r="Q20" s="4"/>
      <c r="R20" s="4"/>
      <c r="S20" s="12"/>
      <c r="T20" s="4"/>
      <c r="U20" s="4"/>
      <c r="V20" s="4"/>
      <c r="W20" s="4"/>
      <c r="X20" s="4"/>
      <c r="Y20" s="4"/>
      <c r="Z20" s="4"/>
      <c r="AA20" s="4"/>
      <c r="AB20" s="4"/>
      <c r="AC20" s="4"/>
      <c r="AD20" s="4"/>
      <c r="AE20" s="4"/>
      <c r="AF20" s="4"/>
      <c r="AG20" s="4"/>
      <c r="AH20" s="4"/>
      <c r="AI20" s="4"/>
    </row>
    <row r="21" spans="1:35" ht="13.5" thickTop="1">
      <c r="A21" s="4"/>
      <c r="B21" s="12"/>
      <c r="C21" s="4"/>
      <c r="D21" s="94" t="s">
        <v>177</v>
      </c>
      <c r="E21" s="145">
        <f>E15*0.09</f>
        <v>54000</v>
      </c>
      <c r="F21" s="143"/>
      <c r="G21" s="145">
        <f>G15*0.09</f>
        <v>0</v>
      </c>
      <c r="H21" s="143"/>
      <c r="I21" s="145">
        <f>I15*0.09</f>
        <v>10800</v>
      </c>
      <c r="J21" s="27"/>
      <c r="K21" s="145">
        <f>K15*0.09</f>
        <v>21600</v>
      </c>
      <c r="L21" s="27"/>
      <c r="M21" s="145">
        <f>M15*0.09</f>
        <v>32400</v>
      </c>
      <c r="N21" s="4"/>
      <c r="O21" s="4"/>
      <c r="P21" s="4"/>
      <c r="Q21" s="4"/>
      <c r="R21" s="4"/>
      <c r="S21" s="12"/>
      <c r="T21" s="4"/>
      <c r="U21" s="4"/>
      <c r="V21" s="4"/>
      <c r="W21" s="4"/>
      <c r="X21" s="4"/>
      <c r="Y21" s="4"/>
      <c r="Z21" s="4"/>
      <c r="AA21" s="4"/>
      <c r="AB21" s="4"/>
      <c r="AC21" s="4"/>
      <c r="AD21" s="4"/>
      <c r="AE21" s="4"/>
      <c r="AF21" s="4"/>
      <c r="AG21" s="4"/>
      <c r="AH21" s="4"/>
      <c r="AI21" s="4"/>
    </row>
    <row r="22" spans="1:35" ht="12.75">
      <c r="A22" s="4"/>
      <c r="B22" s="12"/>
      <c r="C22" s="4"/>
      <c r="D22" s="94" t="s">
        <v>178</v>
      </c>
      <c r="E22" s="142">
        <f>E20-E21</f>
        <v>-54000</v>
      </c>
      <c r="F22" s="143"/>
      <c r="G22" s="142">
        <f>G20-G21</f>
        <v>0</v>
      </c>
      <c r="H22" s="143"/>
      <c r="I22" s="142">
        <f>I20-I21</f>
        <v>-10800</v>
      </c>
      <c r="J22" s="27"/>
      <c r="K22" s="142">
        <f>K20-K21</f>
        <v>-21600</v>
      </c>
      <c r="L22" s="27"/>
      <c r="M22" s="142">
        <f>M20-M21</f>
        <v>-32400</v>
      </c>
      <c r="N22" s="4"/>
      <c r="O22" s="4"/>
      <c r="P22" s="4"/>
      <c r="Q22" s="4"/>
      <c r="R22" s="4"/>
      <c r="S22" s="12"/>
      <c r="T22" s="4"/>
      <c r="U22" s="4"/>
      <c r="V22" s="4"/>
      <c r="W22" s="4"/>
      <c r="X22" s="4"/>
      <c r="Y22" s="4"/>
      <c r="Z22" s="4"/>
      <c r="AA22" s="4"/>
      <c r="AB22" s="4"/>
      <c r="AC22" s="4"/>
      <c r="AD22" s="4"/>
      <c r="AE22" s="4"/>
      <c r="AF22" s="4"/>
      <c r="AG22" s="4"/>
      <c r="AH22" s="4"/>
      <c r="AI22" s="4"/>
    </row>
    <row r="23" spans="1:35" ht="12.75">
      <c r="A23" s="4"/>
      <c r="B23" s="12"/>
      <c r="C23" s="4"/>
      <c r="D23" s="94" t="s">
        <v>261</v>
      </c>
      <c r="E23" s="145">
        <f>E22*0.25</f>
        <v>-13500</v>
      </c>
      <c r="F23" s="143"/>
      <c r="G23" s="145">
        <f>G22*0.25</f>
        <v>0</v>
      </c>
      <c r="H23" s="143"/>
      <c r="I23" s="145">
        <f>I22*0.25</f>
        <v>-2700</v>
      </c>
      <c r="J23" s="27"/>
      <c r="K23" s="145">
        <f>K22*0.25</f>
        <v>-5400</v>
      </c>
      <c r="L23" s="27"/>
      <c r="M23" s="145">
        <f>M22*0.25</f>
        <v>-8100</v>
      </c>
      <c r="N23" s="4"/>
      <c r="O23" s="4"/>
      <c r="P23" s="4"/>
      <c r="Q23" s="4"/>
      <c r="R23" s="4"/>
      <c r="S23" s="12"/>
      <c r="T23" s="4"/>
      <c r="U23" s="4"/>
      <c r="V23" s="4"/>
      <c r="W23" s="4"/>
      <c r="X23" s="4"/>
      <c r="Y23" s="4"/>
      <c r="Z23" s="4"/>
      <c r="AA23" s="4"/>
      <c r="AB23" s="4"/>
      <c r="AC23" s="4"/>
      <c r="AD23" s="4"/>
      <c r="AE23" s="4"/>
      <c r="AF23" s="4"/>
      <c r="AG23" s="4"/>
      <c r="AH23" s="4"/>
      <c r="AI23" s="4"/>
    </row>
    <row r="24" spans="1:35" ht="12.75">
      <c r="A24" s="4"/>
      <c r="B24" s="12"/>
      <c r="C24" s="4"/>
      <c r="D24" s="94" t="s">
        <v>179</v>
      </c>
      <c r="E24" s="142">
        <f>E22-E23</f>
        <v>-40500</v>
      </c>
      <c r="F24" s="143"/>
      <c r="G24" s="142">
        <f>G22-G23</f>
        <v>0</v>
      </c>
      <c r="H24" s="143"/>
      <c r="I24" s="142">
        <f>I22-I23</f>
        <v>-8100</v>
      </c>
      <c r="J24" s="27"/>
      <c r="K24" s="142">
        <f>K22-K23</f>
        <v>-16200</v>
      </c>
      <c r="L24" s="27"/>
      <c r="M24" s="142">
        <f>M22-M23</f>
        <v>-24300</v>
      </c>
      <c r="N24" s="4"/>
      <c r="O24" s="4"/>
      <c r="P24" s="4"/>
      <c r="Q24" s="4"/>
      <c r="R24" s="4"/>
      <c r="S24" s="12"/>
      <c r="T24" s="4"/>
      <c r="U24" s="4"/>
      <c r="V24" s="4"/>
      <c r="W24" s="4"/>
      <c r="X24" s="4"/>
      <c r="Y24" s="4"/>
      <c r="Z24" s="4"/>
      <c r="AA24" s="4"/>
      <c r="AB24" s="4"/>
      <c r="AC24" s="4"/>
      <c r="AD24" s="4"/>
      <c r="AE24" s="4"/>
      <c r="AF24" s="4"/>
      <c r="AG24" s="4"/>
      <c r="AH24" s="4"/>
      <c r="AI24" s="4"/>
    </row>
    <row r="25" spans="1:35" ht="12.75">
      <c r="A25" s="4"/>
      <c r="B25" s="12"/>
      <c r="C25" s="4"/>
      <c r="D25" s="94" t="s">
        <v>180</v>
      </c>
      <c r="E25" s="145"/>
      <c r="F25" s="143"/>
      <c r="G25" s="145">
        <f>6000*2.5</f>
        <v>15000</v>
      </c>
      <c r="H25" s="143"/>
      <c r="I25" s="145"/>
      <c r="J25" s="27"/>
      <c r="K25" s="145"/>
      <c r="L25" s="27"/>
      <c r="M25" s="145"/>
      <c r="N25" s="4"/>
      <c r="O25" s="4"/>
      <c r="P25" s="4"/>
      <c r="Q25" s="4"/>
      <c r="R25" s="4"/>
      <c r="S25" s="12"/>
      <c r="T25" s="4"/>
      <c r="U25" s="4"/>
      <c r="V25" s="4"/>
      <c r="W25" s="4"/>
      <c r="X25" s="4"/>
      <c r="Y25" s="4"/>
      <c r="Z25" s="4"/>
      <c r="AA25" s="4"/>
      <c r="AB25" s="4"/>
      <c r="AC25" s="4"/>
      <c r="AD25" s="4"/>
      <c r="AE25" s="4"/>
      <c r="AF25" s="4"/>
      <c r="AG25" s="4"/>
      <c r="AH25" s="4"/>
      <c r="AI25" s="4"/>
    </row>
    <row r="26" spans="1:35" ht="12.75">
      <c r="A26" s="4"/>
      <c r="B26" s="12"/>
      <c r="C26" s="4"/>
      <c r="D26" s="94" t="s">
        <v>181</v>
      </c>
      <c r="E26" s="142">
        <f>E24-E25</f>
        <v>-40500</v>
      </c>
      <c r="F26" s="143"/>
      <c r="G26" s="142">
        <f>G24-G25</f>
        <v>-15000</v>
      </c>
      <c r="H26" s="143"/>
      <c r="I26" s="142">
        <f>I24-I25</f>
        <v>-8100</v>
      </c>
      <c r="J26" s="27"/>
      <c r="K26" s="142">
        <f>K24-K25</f>
        <v>-16200</v>
      </c>
      <c r="L26" s="27"/>
      <c r="M26" s="142">
        <f>M24-M25</f>
        <v>-24300</v>
      </c>
      <c r="N26" s="4"/>
      <c r="O26" s="4"/>
      <c r="P26" s="4"/>
      <c r="Q26" s="4"/>
      <c r="R26" s="4"/>
      <c r="S26" s="12"/>
      <c r="T26" s="4"/>
      <c r="U26" s="4"/>
      <c r="V26" s="4"/>
      <c r="W26" s="4"/>
      <c r="X26" s="4"/>
      <c r="Y26" s="4"/>
      <c r="Z26" s="4"/>
      <c r="AA26" s="4"/>
      <c r="AB26" s="4"/>
      <c r="AC26" s="4"/>
      <c r="AD26" s="4"/>
      <c r="AE26" s="4"/>
      <c r="AF26" s="4"/>
      <c r="AG26" s="4"/>
      <c r="AH26" s="4"/>
      <c r="AI26" s="4"/>
    </row>
    <row r="27" spans="1:35" ht="12.75">
      <c r="A27" s="4"/>
      <c r="B27" s="12"/>
      <c r="C27" s="4"/>
      <c r="D27" s="94" t="s">
        <v>182</v>
      </c>
      <c r="E27" s="142">
        <v>975000</v>
      </c>
      <c r="F27" s="143"/>
      <c r="G27" s="142">
        <f>975000+G17</f>
        <v>1275000</v>
      </c>
      <c r="H27" s="143"/>
      <c r="I27" s="142">
        <f>975000+I17</f>
        <v>1455000</v>
      </c>
      <c r="J27" s="27"/>
      <c r="K27" s="142">
        <f>975000+K17</f>
        <v>1335000</v>
      </c>
      <c r="L27" s="27"/>
      <c r="M27" s="142">
        <f>975000+M17</f>
        <v>1215000</v>
      </c>
      <c r="N27" s="4"/>
      <c r="O27" s="4"/>
      <c r="P27" s="4"/>
      <c r="Q27" s="4"/>
      <c r="R27" s="4"/>
      <c r="S27" s="12"/>
      <c r="T27" s="4"/>
      <c r="U27" s="4"/>
      <c r="V27" s="4"/>
      <c r="W27" s="4"/>
      <c r="X27" s="4"/>
      <c r="Y27" s="4"/>
      <c r="Z27" s="4"/>
      <c r="AA27" s="4"/>
      <c r="AB27" s="4"/>
      <c r="AC27" s="4"/>
      <c r="AD27" s="4"/>
      <c r="AE27" s="4"/>
      <c r="AF27" s="4"/>
      <c r="AG27" s="4"/>
      <c r="AH27" s="4"/>
      <c r="AI27" s="4"/>
    </row>
    <row r="28" spans="1:35" ht="13.5" thickBot="1">
      <c r="A28" s="4"/>
      <c r="B28" s="12"/>
      <c r="C28" s="4"/>
      <c r="D28" s="94" t="s">
        <v>183</v>
      </c>
      <c r="E28" s="146">
        <f>E26/E27</f>
        <v>-0.04153846153846154</v>
      </c>
      <c r="F28" s="143"/>
      <c r="G28" s="146">
        <f>G26/G27</f>
        <v>-0.011764705882352941</v>
      </c>
      <c r="H28" s="143"/>
      <c r="I28" s="146">
        <f>I26/I27</f>
        <v>-0.00556701030927835</v>
      </c>
      <c r="J28" s="27"/>
      <c r="K28" s="146">
        <f>K26/K27</f>
        <v>-0.012134831460674157</v>
      </c>
      <c r="L28" s="27"/>
      <c r="M28" s="146">
        <f>M26/M27</f>
        <v>-0.02</v>
      </c>
      <c r="N28" s="4"/>
      <c r="O28" s="4"/>
      <c r="P28" s="4"/>
      <c r="Q28" s="4"/>
      <c r="R28" s="4"/>
      <c r="S28" s="12"/>
      <c r="T28" s="4"/>
      <c r="U28" s="4"/>
      <c r="V28" s="4"/>
      <c r="W28" s="4"/>
      <c r="X28" s="4"/>
      <c r="Y28" s="4"/>
      <c r="Z28" s="4"/>
      <c r="AA28" s="4"/>
      <c r="AB28" s="4"/>
      <c r="AC28" s="4"/>
      <c r="AD28" s="4"/>
      <c r="AE28" s="4"/>
      <c r="AF28" s="4"/>
      <c r="AG28" s="4"/>
      <c r="AH28" s="4"/>
      <c r="AI28" s="4"/>
    </row>
    <row r="29" spans="1:35" ht="13.5" thickTop="1">
      <c r="A29" s="4"/>
      <c r="B29" s="12"/>
      <c r="C29" s="4"/>
      <c r="D29" s="96"/>
      <c r="E29" s="96"/>
      <c r="F29" s="96"/>
      <c r="G29" s="4"/>
      <c r="H29" s="4"/>
      <c r="I29" s="4"/>
      <c r="J29" s="4"/>
      <c r="K29" s="4"/>
      <c r="L29" s="4"/>
      <c r="M29" s="4"/>
      <c r="N29" s="4"/>
      <c r="O29" s="4"/>
      <c r="P29" s="4"/>
      <c r="Q29" s="4"/>
      <c r="R29" s="4"/>
      <c r="S29" s="12"/>
      <c r="T29" s="4"/>
      <c r="U29" s="4"/>
      <c r="V29" s="4"/>
      <c r="W29" s="4"/>
      <c r="X29" s="4"/>
      <c r="Y29" s="4"/>
      <c r="Z29" s="4"/>
      <c r="AA29" s="4"/>
      <c r="AB29" s="4"/>
      <c r="AC29" s="4"/>
      <c r="AD29" s="4"/>
      <c r="AE29" s="4"/>
      <c r="AF29" s="4"/>
      <c r="AG29" s="4"/>
      <c r="AH29" s="4"/>
      <c r="AI29" s="4"/>
    </row>
    <row r="30" spans="1:35" ht="12.75">
      <c r="A30" s="4"/>
      <c r="B30" s="12"/>
      <c r="C30" s="4"/>
      <c r="D30" s="4"/>
      <c r="E30" s="4"/>
      <c r="F30" s="4"/>
      <c r="G30" s="4"/>
      <c r="H30" s="4"/>
      <c r="I30" s="4"/>
      <c r="J30" s="4"/>
      <c r="K30" s="4"/>
      <c r="L30" s="4"/>
      <c r="M30" s="4"/>
      <c r="N30" s="4"/>
      <c r="O30" s="4"/>
      <c r="P30" s="4"/>
      <c r="Q30" s="4"/>
      <c r="R30" s="4"/>
      <c r="S30" s="12"/>
      <c r="T30" s="4"/>
      <c r="U30" s="4"/>
      <c r="V30" s="4"/>
      <c r="W30" s="4"/>
      <c r="X30" s="4"/>
      <c r="Y30" s="4"/>
      <c r="Z30" s="4"/>
      <c r="AA30" s="4"/>
      <c r="AB30" s="4"/>
      <c r="AC30" s="4"/>
      <c r="AD30" s="4"/>
      <c r="AE30" s="4"/>
      <c r="AF30" s="4"/>
      <c r="AG30" s="4"/>
      <c r="AH30" s="4"/>
      <c r="AI30" s="4"/>
    </row>
    <row r="31" spans="1:35" ht="12.75">
      <c r="A31" s="4"/>
      <c r="B31" s="12"/>
      <c r="C31" s="12"/>
      <c r="D31" s="12"/>
      <c r="E31" s="12"/>
      <c r="F31" s="12"/>
      <c r="G31" s="12"/>
      <c r="H31" s="12"/>
      <c r="I31" s="12"/>
      <c r="J31" s="12"/>
      <c r="K31" s="12"/>
      <c r="L31" s="12"/>
      <c r="M31" s="12"/>
      <c r="N31" s="12"/>
      <c r="O31" s="12"/>
      <c r="P31" s="12"/>
      <c r="Q31" s="12"/>
      <c r="R31" s="12"/>
      <c r="S31" s="12"/>
      <c r="T31" s="4"/>
      <c r="U31" s="4"/>
      <c r="V31" s="4"/>
      <c r="W31" s="4"/>
      <c r="X31" s="4"/>
      <c r="Y31" s="4"/>
      <c r="Z31" s="4"/>
      <c r="AA31" s="4"/>
      <c r="AB31" s="4"/>
      <c r="AC31" s="4"/>
      <c r="AD31" s="4"/>
      <c r="AE31" s="4"/>
      <c r="AF31" s="4"/>
      <c r="AG31" s="4"/>
      <c r="AH31" s="4"/>
      <c r="AI31" s="4"/>
    </row>
    <row r="32" spans="1:35"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sheetData>
  <sheetProtection password="CE3F" sheet="1" selectLockedCells="1"/>
  <printOptions/>
  <pageMargins left="0.7" right="0.7" top="0.75" bottom="0.75" header="0.3" footer="0.3"/>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AD154"/>
  <sheetViews>
    <sheetView zoomScalePageLayoutView="0" workbookViewId="0" topLeftCell="A1">
      <selection activeCell="B1" sqref="B1"/>
    </sheetView>
  </sheetViews>
  <sheetFormatPr defaultColWidth="9.140625" defaultRowHeight="12.75"/>
  <cols>
    <col min="1" max="1" width="2.57421875" style="0" customWidth="1"/>
    <col min="2" max="4" width="3.140625" style="0" customWidth="1"/>
    <col min="5" max="5" width="49.8515625" style="0" customWidth="1"/>
    <col min="6" max="6" width="11.7109375" style="0" customWidth="1"/>
    <col min="7" max="7" width="2.28125" style="0" customWidth="1"/>
    <col min="8" max="8" width="10.421875" style="0" customWidth="1"/>
    <col min="9" max="9" width="4.28125" style="0" customWidth="1"/>
    <col min="10" max="10" width="11.00390625" style="0" customWidth="1"/>
    <col min="11" max="11" width="3.8515625" style="0" customWidth="1"/>
    <col min="12" max="12" width="11.421875" style="0" customWidth="1"/>
    <col min="13" max="13" width="2.28125" style="0" customWidth="1"/>
    <col min="14" max="14" width="10.7109375" style="0" customWidth="1"/>
    <col min="15" max="15" width="2.421875" style="0" customWidth="1"/>
    <col min="16" max="16" width="2.8515625" style="0" customWidth="1"/>
    <col min="17" max="17" width="3.140625" style="0" customWidth="1"/>
    <col min="18" max="18" width="3.00390625" style="0" customWidth="1"/>
  </cols>
  <sheetData>
    <row r="1" spans="1:30" ht="12.75">
      <c r="A1" s="4"/>
      <c r="B1" s="4"/>
      <c r="C1" s="4"/>
      <c r="D1" s="4"/>
      <c r="E1" s="518" t="s">
        <v>231</v>
      </c>
      <c r="F1" s="518"/>
      <c r="G1" s="518"/>
      <c r="H1" s="518"/>
      <c r="I1" s="518"/>
      <c r="J1" s="518"/>
      <c r="K1" s="518"/>
      <c r="L1" s="518"/>
      <c r="M1" s="518"/>
      <c r="N1" s="518"/>
      <c r="O1" s="518"/>
      <c r="P1" s="4"/>
      <c r="Q1" s="4"/>
      <c r="R1" s="4"/>
      <c r="S1" s="4"/>
      <c r="T1" s="4"/>
      <c r="U1" s="4"/>
      <c r="V1" s="4"/>
      <c r="W1" s="4"/>
      <c r="X1" s="4"/>
      <c r="Y1" s="4"/>
      <c r="Z1" s="4"/>
      <c r="AA1" s="4"/>
      <c r="AB1" s="4"/>
      <c r="AC1" s="4"/>
      <c r="AD1" s="4"/>
    </row>
    <row r="2" spans="1:30" ht="12.75">
      <c r="A2" s="4"/>
      <c r="B2" s="4"/>
      <c r="C2" s="4"/>
      <c r="D2" s="4"/>
      <c r="E2" s="94"/>
      <c r="F2" s="94"/>
      <c r="G2" s="94"/>
      <c r="H2" s="94"/>
      <c r="I2" s="94"/>
      <c r="J2" s="94"/>
      <c r="K2" s="94"/>
      <c r="L2" s="94"/>
      <c r="M2" s="94"/>
      <c r="N2" s="94"/>
      <c r="O2" s="94"/>
      <c r="P2" s="4"/>
      <c r="Q2" s="4"/>
      <c r="R2" s="4"/>
      <c r="S2" s="4"/>
      <c r="T2" s="4"/>
      <c r="U2" s="4"/>
      <c r="V2" s="4"/>
      <c r="W2" s="4"/>
      <c r="X2" s="4"/>
      <c r="Y2" s="4"/>
      <c r="Z2" s="4"/>
      <c r="AA2" s="4"/>
      <c r="AB2" s="4"/>
      <c r="AC2" s="4"/>
      <c r="AD2" s="4"/>
    </row>
    <row r="3" spans="1:30" ht="12.75">
      <c r="A3" s="4"/>
      <c r="B3" s="4"/>
      <c r="C3" s="4"/>
      <c r="D3" s="4"/>
      <c r="E3" s="94"/>
      <c r="F3" s="94"/>
      <c r="G3" s="94"/>
      <c r="H3" s="94"/>
      <c r="I3" s="94"/>
      <c r="J3" s="94"/>
      <c r="K3" s="94"/>
      <c r="L3" s="94"/>
      <c r="M3" s="94"/>
      <c r="N3" s="94"/>
      <c r="O3" s="94"/>
      <c r="P3" s="4"/>
      <c r="Q3" s="4"/>
      <c r="R3" s="4"/>
      <c r="S3" s="4"/>
      <c r="T3" s="4"/>
      <c r="U3" s="4"/>
      <c r="V3" s="4"/>
      <c r="W3" s="4"/>
      <c r="X3" s="4"/>
      <c r="Y3" s="4"/>
      <c r="Z3" s="4"/>
      <c r="AA3" s="4"/>
      <c r="AB3" s="4"/>
      <c r="AC3" s="4"/>
      <c r="AD3" s="4"/>
    </row>
    <row r="4" spans="1:30" ht="12.75">
      <c r="A4" s="4"/>
      <c r="B4" s="12"/>
      <c r="C4" s="12"/>
      <c r="D4" s="12"/>
      <c r="E4" s="154"/>
      <c r="F4" s="154"/>
      <c r="G4" s="154"/>
      <c r="H4" s="154"/>
      <c r="I4" s="154"/>
      <c r="J4" s="154"/>
      <c r="K4" s="154"/>
      <c r="L4" s="154"/>
      <c r="M4" s="154"/>
      <c r="N4" s="154"/>
      <c r="O4" s="154"/>
      <c r="P4" s="12"/>
      <c r="Q4" s="12"/>
      <c r="R4" s="4"/>
      <c r="S4" s="4"/>
      <c r="T4" s="4"/>
      <c r="U4" s="4"/>
      <c r="V4" s="4"/>
      <c r="W4" s="4"/>
      <c r="X4" s="4"/>
      <c r="Y4" s="4"/>
      <c r="Z4" s="4"/>
      <c r="AA4" s="4"/>
      <c r="AB4" s="4"/>
      <c r="AC4" s="4"/>
      <c r="AD4" s="4"/>
    </row>
    <row r="5" spans="1:30" ht="12.75">
      <c r="A5" s="4"/>
      <c r="B5" s="12"/>
      <c r="C5" s="4"/>
      <c r="D5" s="4"/>
      <c r="E5" s="235"/>
      <c r="F5" s="235"/>
      <c r="G5" s="235"/>
      <c r="H5" s="94"/>
      <c r="I5" s="94"/>
      <c r="J5" s="94"/>
      <c r="K5" s="94"/>
      <c r="L5" s="94"/>
      <c r="M5" s="94"/>
      <c r="N5" s="94"/>
      <c r="O5" s="94"/>
      <c r="P5" s="4"/>
      <c r="Q5" s="12"/>
      <c r="R5" s="4"/>
      <c r="S5" s="4"/>
      <c r="T5" s="4"/>
      <c r="U5" s="4"/>
      <c r="V5" s="4"/>
      <c r="W5" s="4"/>
      <c r="X5" s="4"/>
      <c r="Y5" s="4"/>
      <c r="Z5" s="4"/>
      <c r="AA5" s="4"/>
      <c r="AB5" s="4"/>
      <c r="AC5" s="4"/>
      <c r="AD5" s="4"/>
    </row>
    <row r="6" spans="1:30" ht="12.75">
      <c r="A6" s="4"/>
      <c r="B6" s="12"/>
      <c r="C6" s="4"/>
      <c r="D6" s="4"/>
      <c r="E6" s="491" t="s">
        <v>134</v>
      </c>
      <c r="F6" s="496"/>
      <c r="G6" s="496"/>
      <c r="H6" s="496"/>
      <c r="I6" s="496"/>
      <c r="J6" s="496"/>
      <c r="K6" s="496"/>
      <c r="L6" s="496"/>
      <c r="M6" s="496"/>
      <c r="N6" s="496"/>
      <c r="O6" s="496"/>
      <c r="P6" s="4"/>
      <c r="Q6" s="12"/>
      <c r="R6" s="4"/>
      <c r="S6" s="4"/>
      <c r="T6" s="4"/>
      <c r="U6" s="4"/>
      <c r="V6" s="4"/>
      <c r="W6" s="4"/>
      <c r="X6" s="4"/>
      <c r="Y6" s="4"/>
      <c r="Z6" s="4"/>
      <c r="AA6" s="4"/>
      <c r="AB6" s="4"/>
      <c r="AC6" s="4"/>
      <c r="AD6" s="4"/>
    </row>
    <row r="7" spans="1:30" ht="12.75">
      <c r="A7" s="4"/>
      <c r="B7" s="12"/>
      <c r="C7" s="4"/>
      <c r="D7" s="4"/>
      <c r="E7" s="311"/>
      <c r="F7" s="103" t="s">
        <v>87</v>
      </c>
      <c r="G7" s="103"/>
      <c r="H7" s="103" t="s">
        <v>132</v>
      </c>
      <c r="I7" s="103"/>
      <c r="J7" s="103" t="s">
        <v>88</v>
      </c>
      <c r="K7" s="103"/>
      <c r="L7" s="103" t="s">
        <v>133</v>
      </c>
      <c r="M7" s="103"/>
      <c r="N7" s="103" t="s">
        <v>89</v>
      </c>
      <c r="O7" s="103"/>
      <c r="P7" s="4"/>
      <c r="Q7" s="12"/>
      <c r="R7" s="4"/>
      <c r="S7" s="4"/>
      <c r="T7" s="4"/>
      <c r="U7" s="4"/>
      <c r="V7" s="4"/>
      <c r="W7" s="4"/>
      <c r="X7" s="4"/>
      <c r="Y7" s="4"/>
      <c r="Z7" s="4"/>
      <c r="AA7" s="4"/>
      <c r="AB7" s="4"/>
      <c r="AC7" s="4"/>
      <c r="AD7" s="4"/>
    </row>
    <row r="8" spans="1:30" ht="12.75">
      <c r="A8" s="4"/>
      <c r="B8" s="12"/>
      <c r="C8" s="4"/>
      <c r="D8" s="4"/>
      <c r="E8" s="235" t="s">
        <v>131</v>
      </c>
      <c r="F8" s="292">
        <f>SUM(Task_3_Canadian_Sales_Forecasts!M14)</f>
        <v>792350</v>
      </c>
      <c r="G8" s="241"/>
      <c r="H8" s="292">
        <f>SUM(Task_3_Canadian_Sales_Forecasts!K14)</f>
        <v>800273.5</v>
      </c>
      <c r="I8" s="111"/>
      <c r="J8" s="292">
        <f>SUM(Task_3_Canadian_Sales_Forecasts!I14)</f>
        <v>808276.235</v>
      </c>
      <c r="K8" s="111"/>
      <c r="L8" s="292">
        <f>SUM(Task_3_Canadian_Sales_Forecasts!G14)</f>
        <v>824441.7597</v>
      </c>
      <c r="M8" s="111"/>
      <c r="N8" s="292">
        <f>SUM(Task_3_Canadian_Sales_Forecasts!E14)</f>
        <v>840930.5948940001</v>
      </c>
      <c r="O8" s="94"/>
      <c r="P8" s="4"/>
      <c r="Q8" s="12"/>
      <c r="R8" s="4"/>
      <c r="S8" s="4"/>
      <c r="T8" s="4"/>
      <c r="U8" s="4"/>
      <c r="V8" s="4"/>
      <c r="W8" s="4"/>
      <c r="X8" s="4"/>
      <c r="Y8" s="4"/>
      <c r="Z8" s="4"/>
      <c r="AA8" s="4"/>
      <c r="AB8" s="4"/>
      <c r="AC8" s="4"/>
      <c r="AD8" s="4"/>
    </row>
    <row r="9" spans="1:30" ht="12.75">
      <c r="A9" s="4"/>
      <c r="B9" s="12"/>
      <c r="C9" s="4"/>
      <c r="D9" s="4"/>
      <c r="E9" s="233"/>
      <c r="F9" s="241"/>
      <c r="G9" s="241"/>
      <c r="H9" s="293"/>
      <c r="I9" s="111"/>
      <c r="J9" s="111"/>
      <c r="K9" s="111"/>
      <c r="L9" s="111"/>
      <c r="M9" s="111"/>
      <c r="N9" s="111"/>
      <c r="O9" s="94"/>
      <c r="P9" s="4"/>
      <c r="Q9" s="12"/>
      <c r="R9" s="4"/>
      <c r="S9" s="4"/>
      <c r="T9" s="4"/>
      <c r="U9" s="4"/>
      <c r="V9" s="4"/>
      <c r="W9" s="4"/>
      <c r="X9" s="4"/>
      <c r="Y9" s="4"/>
      <c r="Z9" s="4"/>
      <c r="AA9" s="4"/>
      <c r="AB9" s="4"/>
      <c r="AC9" s="4"/>
      <c r="AD9" s="4"/>
    </row>
    <row r="10" spans="1:30" ht="12.75">
      <c r="A10" s="4"/>
      <c r="B10" s="12"/>
      <c r="C10" s="4"/>
      <c r="D10" s="4"/>
      <c r="E10" s="235" t="s">
        <v>109</v>
      </c>
      <c r="F10" s="241"/>
      <c r="G10" s="241"/>
      <c r="H10" s="111"/>
      <c r="I10" s="111"/>
      <c r="J10" s="111"/>
      <c r="K10" s="111"/>
      <c r="L10" s="111"/>
      <c r="M10" s="111"/>
      <c r="N10" s="111"/>
      <c r="O10" s="94"/>
      <c r="P10" s="4"/>
      <c r="Q10" s="12"/>
      <c r="R10" s="4"/>
      <c r="S10" s="4"/>
      <c r="T10" s="4"/>
      <c r="U10" s="4"/>
      <c r="V10" s="4"/>
      <c r="W10" s="4"/>
      <c r="X10" s="4"/>
      <c r="Y10" s="4"/>
      <c r="Z10" s="4"/>
      <c r="AA10" s="4"/>
      <c r="AB10" s="4"/>
      <c r="AC10" s="4"/>
      <c r="AD10" s="4"/>
    </row>
    <row r="11" spans="1:30" ht="12.75">
      <c r="A11" s="4"/>
      <c r="B11" s="12"/>
      <c r="C11" s="4"/>
      <c r="D11" s="4"/>
      <c r="E11" s="233" t="s">
        <v>409</v>
      </c>
      <c r="F11" s="292">
        <f>SUM(Task_3_Canadian_Sales_Forecasts!M15)</f>
        <v>516500</v>
      </c>
      <c r="G11" s="241"/>
      <c r="H11" s="292">
        <f>SUM(Task_3_Canadian_Sales_Forecasts!K15)</f>
        <v>521665</v>
      </c>
      <c r="I11" s="111"/>
      <c r="J11" s="292">
        <f>SUM(Task_3_Canadian_Sales_Forecasts!I15)</f>
        <v>526881.65</v>
      </c>
      <c r="K11" s="111"/>
      <c r="L11" s="292">
        <f>SUM(Task_3_Canadian_Sales_Forecasts!G15)</f>
        <v>537419.283</v>
      </c>
      <c r="M11" s="111"/>
      <c r="N11" s="292">
        <f>SUM(Task_3_Canadian_Sales_Forecasts!E15)</f>
        <v>548167.6686600001</v>
      </c>
      <c r="O11" s="172"/>
      <c r="P11" s="4"/>
      <c r="Q11" s="12"/>
      <c r="R11" s="4"/>
      <c r="S11" s="4"/>
      <c r="T11" s="4"/>
      <c r="U11" s="4"/>
      <c r="V11" s="4"/>
      <c r="W11" s="4"/>
      <c r="X11" s="4"/>
      <c r="Y11" s="4"/>
      <c r="Z11" s="4"/>
      <c r="AA11" s="4"/>
      <c r="AB11" s="4"/>
      <c r="AC11" s="4"/>
      <c r="AD11" s="4"/>
    </row>
    <row r="12" spans="1:30" ht="12.75">
      <c r="A12" s="4"/>
      <c r="B12" s="12"/>
      <c r="C12" s="4"/>
      <c r="D12" s="4"/>
      <c r="E12" s="233" t="s">
        <v>110</v>
      </c>
      <c r="F12" s="292">
        <v>20000</v>
      </c>
      <c r="G12" s="241"/>
      <c r="H12" s="292">
        <v>20000</v>
      </c>
      <c r="I12" s="111"/>
      <c r="J12" s="292">
        <v>20000</v>
      </c>
      <c r="K12" s="111"/>
      <c r="L12" s="292">
        <v>20000</v>
      </c>
      <c r="M12" s="111"/>
      <c r="N12" s="292">
        <v>20000</v>
      </c>
      <c r="O12" s="255"/>
      <c r="P12" s="4"/>
      <c r="Q12" s="12"/>
      <c r="R12" s="4"/>
      <c r="S12" s="4"/>
      <c r="T12" s="4"/>
      <c r="U12" s="4"/>
      <c r="V12" s="4"/>
      <c r="W12" s="4"/>
      <c r="X12" s="4"/>
      <c r="Y12" s="4"/>
      <c r="Z12" s="4"/>
      <c r="AA12" s="4"/>
      <c r="AB12" s="4"/>
      <c r="AC12" s="4"/>
      <c r="AD12" s="4"/>
    </row>
    <row r="13" spans="1:30" ht="12.75">
      <c r="A13" s="4"/>
      <c r="B13" s="12"/>
      <c r="C13" s="4"/>
      <c r="D13" s="4"/>
      <c r="E13" s="233" t="s">
        <v>111</v>
      </c>
      <c r="F13" s="292">
        <f>SUM(Task_3_Canadian_Sales_Forecasts!M25)</f>
        <v>201034</v>
      </c>
      <c r="G13" s="241"/>
      <c r="H13" s="292">
        <f>SUM(Task_3_Canadian_Sales_Forecasts!K25)</f>
        <v>193894.34000000003</v>
      </c>
      <c r="I13" s="111"/>
      <c r="J13" s="292">
        <f>SUM(Task_3_Canadian_Sales_Forecasts!I25)</f>
        <v>186893.28340000001</v>
      </c>
      <c r="K13" s="111"/>
      <c r="L13" s="292">
        <f>SUM(Task_3_Canadian_Sales_Forecasts!G25)</f>
        <v>180150.274068</v>
      </c>
      <c r="M13" s="111"/>
      <c r="N13" s="292">
        <f>SUM(Task_3_Canadian_Sales_Forecasts!E25)</f>
        <v>183563.36079935997</v>
      </c>
      <c r="O13" s="255"/>
      <c r="P13" s="4"/>
      <c r="Q13" s="12"/>
      <c r="R13" s="4"/>
      <c r="S13" s="4"/>
      <c r="T13" s="4"/>
      <c r="U13" s="4"/>
      <c r="V13" s="4"/>
      <c r="W13" s="4"/>
      <c r="X13" s="4"/>
      <c r="Y13" s="4"/>
      <c r="Z13" s="4"/>
      <c r="AA13" s="4"/>
      <c r="AB13" s="4"/>
      <c r="AC13" s="4"/>
      <c r="AD13" s="4"/>
    </row>
    <row r="14" spans="1:30" ht="12.75">
      <c r="A14" s="4"/>
      <c r="B14" s="12"/>
      <c r="C14" s="4"/>
      <c r="D14" s="4"/>
      <c r="E14" s="233" t="s">
        <v>112</v>
      </c>
      <c r="F14" s="294">
        <f>F8-SUM(F11:F13)</f>
        <v>54816</v>
      </c>
      <c r="G14" s="241"/>
      <c r="H14" s="294">
        <f>H8-SUM(H11:H13)</f>
        <v>64714.159999999916</v>
      </c>
      <c r="I14" s="241"/>
      <c r="J14" s="294">
        <f>J8-SUM(J11:J13)</f>
        <v>74501.3016</v>
      </c>
      <c r="K14" s="241"/>
      <c r="L14" s="294">
        <f>L8-SUM(L11:L13)</f>
        <v>86872.20263199997</v>
      </c>
      <c r="M14" s="241"/>
      <c r="N14" s="294">
        <f>N8-SUM(N11:N13)</f>
        <v>89199.56543464004</v>
      </c>
      <c r="O14" s="255"/>
      <c r="P14" s="4"/>
      <c r="Q14" s="12"/>
      <c r="R14" s="4"/>
      <c r="S14" s="4"/>
      <c r="T14" s="4"/>
      <c r="U14" s="4"/>
      <c r="V14" s="4"/>
      <c r="W14" s="4"/>
      <c r="X14" s="4"/>
      <c r="Y14" s="4"/>
      <c r="Z14" s="4"/>
      <c r="AA14" s="4"/>
      <c r="AB14" s="4"/>
      <c r="AC14" s="4"/>
      <c r="AD14" s="4"/>
    </row>
    <row r="15" spans="1:30" ht="12.75">
      <c r="A15" s="4"/>
      <c r="B15" s="12"/>
      <c r="C15" s="4"/>
      <c r="D15" s="4"/>
      <c r="E15" s="233" t="s">
        <v>113</v>
      </c>
      <c r="F15" s="295">
        <f>F14*0.25</f>
        <v>13704</v>
      </c>
      <c r="G15" s="241"/>
      <c r="H15" s="295">
        <f>H14*0.25</f>
        <v>16178.539999999979</v>
      </c>
      <c r="I15" s="241"/>
      <c r="J15" s="295">
        <f>J14*0.25</f>
        <v>18625.3254</v>
      </c>
      <c r="K15" s="241"/>
      <c r="L15" s="295">
        <f>L14*0.25</f>
        <v>21718.050657999993</v>
      </c>
      <c r="M15" s="241"/>
      <c r="N15" s="295">
        <f>N14*0.25</f>
        <v>22299.89135866001</v>
      </c>
      <c r="O15" s="255"/>
      <c r="P15" s="4"/>
      <c r="Q15" s="12"/>
      <c r="R15" s="4"/>
      <c r="S15" s="4"/>
      <c r="T15" s="4"/>
      <c r="U15" s="4"/>
      <c r="V15" s="4"/>
      <c r="W15" s="4"/>
      <c r="X15" s="4"/>
      <c r="Y15" s="4"/>
      <c r="Z15" s="4"/>
      <c r="AA15" s="4"/>
      <c r="AB15" s="4"/>
      <c r="AC15" s="4"/>
      <c r="AD15" s="4"/>
    </row>
    <row r="16" spans="1:30" ht="13.5" thickBot="1">
      <c r="A16" s="4"/>
      <c r="B16" s="12"/>
      <c r="C16" s="4"/>
      <c r="D16" s="4"/>
      <c r="E16" s="233" t="s">
        <v>114</v>
      </c>
      <c r="F16" s="315">
        <f>F14-F15</f>
        <v>41112</v>
      </c>
      <c r="G16" s="231"/>
      <c r="H16" s="315">
        <f>H14-H15</f>
        <v>48535.61999999994</v>
      </c>
      <c r="I16" s="231"/>
      <c r="J16" s="315">
        <f>J14-J15</f>
        <v>55875.976200000005</v>
      </c>
      <c r="K16" s="231"/>
      <c r="L16" s="315">
        <f>L14-L15</f>
        <v>65154.15197399998</v>
      </c>
      <c r="M16" s="231"/>
      <c r="N16" s="315">
        <f>N14-N15</f>
        <v>66899.67407598003</v>
      </c>
      <c r="O16" s="255"/>
      <c r="P16" s="27"/>
      <c r="Q16" s="12"/>
      <c r="R16" s="4"/>
      <c r="S16" s="4"/>
      <c r="T16" s="4"/>
      <c r="U16" s="4"/>
      <c r="V16" s="4"/>
      <c r="W16" s="4"/>
      <c r="X16" s="4"/>
      <c r="Y16" s="4"/>
      <c r="Z16" s="4"/>
      <c r="AA16" s="4"/>
      <c r="AB16" s="4"/>
      <c r="AC16" s="4"/>
      <c r="AD16" s="4"/>
    </row>
    <row r="17" spans="1:30" ht="13.5" thickTop="1">
      <c r="A17" s="4"/>
      <c r="B17" s="12"/>
      <c r="C17" s="4"/>
      <c r="D17" s="4"/>
      <c r="E17" s="233" t="s">
        <v>115</v>
      </c>
      <c r="F17" s="314">
        <f>F16+F12</f>
        <v>61112</v>
      </c>
      <c r="G17" s="231"/>
      <c r="H17" s="314">
        <f>H16+H12</f>
        <v>68535.61999999994</v>
      </c>
      <c r="I17" s="231"/>
      <c r="J17" s="314">
        <f>J16+J12</f>
        <v>75875.9762</v>
      </c>
      <c r="K17" s="231"/>
      <c r="L17" s="314">
        <f>L16+L12</f>
        <v>85154.15197399998</v>
      </c>
      <c r="M17" s="231"/>
      <c r="N17" s="314">
        <f>N16+N12</f>
        <v>86899.67407598003</v>
      </c>
      <c r="O17" s="297"/>
      <c r="P17" s="4"/>
      <c r="Q17" s="12"/>
      <c r="R17" s="4"/>
      <c r="S17" s="4"/>
      <c r="T17" s="4"/>
      <c r="U17" s="4"/>
      <c r="V17" s="4"/>
      <c r="W17" s="4"/>
      <c r="X17" s="4"/>
      <c r="Y17" s="4"/>
      <c r="Z17" s="4"/>
      <c r="AA17" s="4"/>
      <c r="AB17" s="4"/>
      <c r="AC17" s="4"/>
      <c r="AD17" s="4"/>
    </row>
    <row r="18" spans="1:30" ht="12.75">
      <c r="A18" s="4"/>
      <c r="B18" s="12"/>
      <c r="C18" s="4"/>
      <c r="D18" s="4"/>
      <c r="E18" s="233"/>
      <c r="F18" s="255"/>
      <c r="G18" s="255"/>
      <c r="H18" s="255"/>
      <c r="I18" s="255"/>
      <c r="J18" s="255"/>
      <c r="K18" s="255"/>
      <c r="L18" s="298"/>
      <c r="M18" s="255"/>
      <c r="N18" s="255"/>
      <c r="O18" s="255"/>
      <c r="P18" s="4"/>
      <c r="Q18" s="12"/>
      <c r="R18" s="4"/>
      <c r="S18" s="4"/>
      <c r="T18" s="4"/>
      <c r="U18" s="4"/>
      <c r="V18" s="4"/>
      <c r="W18" s="4"/>
      <c r="X18" s="4"/>
      <c r="Y18" s="4"/>
      <c r="Z18" s="4"/>
      <c r="AA18" s="4"/>
      <c r="AB18" s="4"/>
      <c r="AC18" s="4"/>
      <c r="AD18" s="4"/>
    </row>
    <row r="19" spans="1:30" ht="12.75">
      <c r="A19" s="4"/>
      <c r="B19" s="12"/>
      <c r="C19" s="12"/>
      <c r="D19" s="12"/>
      <c r="E19" s="299"/>
      <c r="F19" s="299"/>
      <c r="G19" s="299"/>
      <c r="H19" s="154"/>
      <c r="I19" s="154"/>
      <c r="J19" s="154"/>
      <c r="K19" s="154"/>
      <c r="L19" s="154"/>
      <c r="M19" s="154"/>
      <c r="N19" s="154"/>
      <c r="O19" s="154"/>
      <c r="P19" s="4"/>
      <c r="Q19" s="12"/>
      <c r="R19" s="4"/>
      <c r="S19" s="4"/>
      <c r="T19" s="4"/>
      <c r="U19" s="4"/>
      <c r="V19" s="4"/>
      <c r="W19" s="4"/>
      <c r="X19" s="4"/>
      <c r="Y19" s="4"/>
      <c r="Z19" s="4"/>
      <c r="AA19" s="4"/>
      <c r="AB19" s="4"/>
      <c r="AC19" s="4"/>
      <c r="AD19" s="4"/>
    </row>
    <row r="20" spans="1:30" ht="12.75">
      <c r="A20" s="4"/>
      <c r="B20" s="12"/>
      <c r="C20" s="4"/>
      <c r="D20" s="4"/>
      <c r="E20" s="235"/>
      <c r="F20" s="235"/>
      <c r="G20" s="235"/>
      <c r="H20" s="94"/>
      <c r="I20" s="94"/>
      <c r="J20" s="94"/>
      <c r="K20" s="94"/>
      <c r="L20" s="94"/>
      <c r="M20" s="94"/>
      <c r="N20" s="94"/>
      <c r="O20" s="94"/>
      <c r="P20" s="4"/>
      <c r="Q20" s="12"/>
      <c r="R20" s="4"/>
      <c r="S20" s="4"/>
      <c r="T20" s="4"/>
      <c r="U20" s="4"/>
      <c r="V20" s="4"/>
      <c r="W20" s="4"/>
      <c r="X20" s="4"/>
      <c r="Y20" s="4"/>
      <c r="Z20" s="4"/>
      <c r="AA20" s="4"/>
      <c r="AB20" s="4"/>
      <c r="AC20" s="4"/>
      <c r="AD20" s="4"/>
    </row>
    <row r="21" spans="1:30" ht="12.75">
      <c r="A21" s="4"/>
      <c r="B21" s="12"/>
      <c r="C21" s="4"/>
      <c r="D21" s="4"/>
      <c r="E21" s="491" t="s">
        <v>135</v>
      </c>
      <c r="F21" s="496"/>
      <c r="G21" s="496"/>
      <c r="H21" s="496"/>
      <c r="I21" s="496"/>
      <c r="J21" s="496"/>
      <c r="K21" s="496"/>
      <c r="L21" s="496"/>
      <c r="M21" s="496"/>
      <c r="N21" s="496"/>
      <c r="O21" s="496"/>
      <c r="P21" s="4"/>
      <c r="Q21" s="12"/>
      <c r="R21" s="4"/>
      <c r="S21" s="4"/>
      <c r="T21" s="4"/>
      <c r="U21" s="4"/>
      <c r="V21" s="4"/>
      <c r="W21" s="4"/>
      <c r="X21" s="4"/>
      <c r="Y21" s="4"/>
      <c r="Z21" s="4"/>
      <c r="AA21" s="4"/>
      <c r="AB21" s="4"/>
      <c r="AC21" s="4"/>
      <c r="AD21" s="4"/>
    </row>
    <row r="22" spans="1:30" ht="12.75">
      <c r="A22" s="4"/>
      <c r="B22" s="12"/>
      <c r="C22" s="4"/>
      <c r="D22" s="4"/>
      <c r="E22" s="311"/>
      <c r="F22" s="103" t="s">
        <v>87</v>
      </c>
      <c r="G22" s="103"/>
      <c r="H22" s="103" t="s">
        <v>132</v>
      </c>
      <c r="I22" s="103"/>
      <c r="J22" s="103" t="s">
        <v>88</v>
      </c>
      <c r="K22" s="103"/>
      <c r="L22" s="103" t="s">
        <v>133</v>
      </c>
      <c r="M22" s="103"/>
      <c r="N22" s="103" t="s">
        <v>89</v>
      </c>
      <c r="O22" s="103"/>
      <c r="P22" s="4"/>
      <c r="Q22" s="12"/>
      <c r="R22" s="4"/>
      <c r="S22" s="4"/>
      <c r="T22" s="4"/>
      <c r="U22" s="4"/>
      <c r="V22" s="4"/>
      <c r="W22" s="4"/>
      <c r="X22" s="4"/>
      <c r="Y22" s="4"/>
      <c r="Z22" s="4"/>
      <c r="AA22" s="4"/>
      <c r="AB22" s="4"/>
      <c r="AC22" s="4"/>
      <c r="AD22" s="4"/>
    </row>
    <row r="23" spans="1:30" ht="12.75">
      <c r="A23" s="4"/>
      <c r="B23" s="12"/>
      <c r="C23" s="4"/>
      <c r="D23" s="4"/>
      <c r="E23" s="235" t="s">
        <v>131</v>
      </c>
      <c r="F23" s="292">
        <f>SUM(Task_3_Canadian_Sales_Forecasts!M41)</f>
        <v>792350</v>
      </c>
      <c r="G23" s="241"/>
      <c r="H23" s="292">
        <f>SUM(Task_3_Canadian_Sales_Forecasts!K41)</f>
        <v>820082.2499999999</v>
      </c>
      <c r="I23" s="111"/>
      <c r="J23" s="292">
        <f>SUM(Task_3_Canadian_Sales_Forecasts!I41)</f>
        <v>848785.1287499998</v>
      </c>
      <c r="K23" s="111"/>
      <c r="L23" s="292">
        <f>SUM(Task_3_Canadian_Sales_Forecasts!G41)</f>
        <v>891224.3851874998</v>
      </c>
      <c r="M23" s="111"/>
      <c r="N23" s="292">
        <f>SUM(Task_3_Canadian_Sales_Forecasts!E41)</f>
        <v>935785.6044468748</v>
      </c>
      <c r="O23" s="94"/>
      <c r="P23" s="4"/>
      <c r="Q23" s="12"/>
      <c r="R23" s="4"/>
      <c r="S23" s="4"/>
      <c r="T23" s="4"/>
      <c r="U23" s="4"/>
      <c r="V23" s="4"/>
      <c r="W23" s="4"/>
      <c r="X23" s="4"/>
      <c r="Y23" s="4"/>
      <c r="Z23" s="4"/>
      <c r="AA23" s="4"/>
      <c r="AB23" s="4"/>
      <c r="AC23" s="4"/>
      <c r="AD23" s="4"/>
    </row>
    <row r="24" spans="1:30" ht="12.75">
      <c r="A24" s="4"/>
      <c r="B24" s="12"/>
      <c r="C24" s="4"/>
      <c r="D24" s="4"/>
      <c r="E24" s="233"/>
      <c r="F24" s="241"/>
      <c r="G24" s="241"/>
      <c r="H24" s="293"/>
      <c r="I24" s="111"/>
      <c r="J24" s="111"/>
      <c r="K24" s="111"/>
      <c r="L24" s="111"/>
      <c r="M24" s="111"/>
      <c r="N24" s="111"/>
      <c r="O24" s="94"/>
      <c r="P24" s="4"/>
      <c r="Q24" s="12"/>
      <c r="R24" s="4"/>
      <c r="S24" s="4"/>
      <c r="T24" s="4"/>
      <c r="U24" s="4"/>
      <c r="V24" s="4"/>
      <c r="W24" s="4"/>
      <c r="X24" s="4"/>
      <c r="Y24" s="4"/>
      <c r="Z24" s="4"/>
      <c r="AA24" s="4"/>
      <c r="AB24" s="4"/>
      <c r="AC24" s="4"/>
      <c r="AD24" s="4"/>
    </row>
    <row r="25" spans="1:30" ht="12.75">
      <c r="A25" s="4"/>
      <c r="B25" s="12"/>
      <c r="C25" s="4"/>
      <c r="D25" s="4"/>
      <c r="E25" s="235" t="s">
        <v>109</v>
      </c>
      <c r="F25" s="241"/>
      <c r="G25" s="241"/>
      <c r="H25" s="111"/>
      <c r="I25" s="111"/>
      <c r="J25" s="111"/>
      <c r="K25" s="111"/>
      <c r="L25" s="111"/>
      <c r="M25" s="111"/>
      <c r="N25" s="111"/>
      <c r="O25" s="94"/>
      <c r="P25" s="4"/>
      <c r="Q25" s="12"/>
      <c r="R25" s="4"/>
      <c r="S25" s="4"/>
      <c r="T25" s="4"/>
      <c r="U25" s="4"/>
      <c r="V25" s="4"/>
      <c r="W25" s="4"/>
      <c r="X25" s="4"/>
      <c r="Y25" s="4"/>
      <c r="Z25" s="4"/>
      <c r="AA25" s="4"/>
      <c r="AB25" s="4"/>
      <c r="AC25" s="4"/>
      <c r="AD25" s="4"/>
    </row>
    <row r="26" spans="1:30" ht="12.75">
      <c r="A26" s="4"/>
      <c r="B26" s="12"/>
      <c r="C26" s="4"/>
      <c r="D26" s="4"/>
      <c r="E26" s="233" t="s">
        <v>409</v>
      </c>
      <c r="F26" s="292">
        <f>SUM(Task_3_Canadian_Sales_Forecasts!M42)</f>
        <v>516500</v>
      </c>
      <c r="G26" s="241"/>
      <c r="H26" s="292">
        <f>SUM(Task_3_Canadian_Sales_Forecasts!K42)</f>
        <v>531995</v>
      </c>
      <c r="I26" s="111"/>
      <c r="J26" s="292">
        <f>SUM(Task_3_Canadian_Sales_Forecasts!I42)</f>
        <v>547954.85</v>
      </c>
      <c r="K26" s="111"/>
      <c r="L26" s="292">
        <f>SUM(Task_3_Canadian_Sales_Forecasts!G42)</f>
        <v>575352.5925</v>
      </c>
      <c r="M26" s="111"/>
      <c r="N26" s="292">
        <f>SUM(Task_3_Canadian_Sales_Forecasts!E42)</f>
        <v>604120.2221250001</v>
      </c>
      <c r="O26" s="172"/>
      <c r="P26" s="4"/>
      <c r="Q26" s="12"/>
      <c r="R26" s="4"/>
      <c r="S26" s="4"/>
      <c r="T26" s="4"/>
      <c r="U26" s="4"/>
      <c r="V26" s="4"/>
      <c r="W26" s="4"/>
      <c r="X26" s="4"/>
      <c r="Y26" s="4"/>
      <c r="Z26" s="4"/>
      <c r="AA26" s="4"/>
      <c r="AB26" s="4"/>
      <c r="AC26" s="4"/>
      <c r="AD26" s="4"/>
    </row>
    <row r="27" spans="1:30" ht="12.75">
      <c r="A27" s="4"/>
      <c r="B27" s="12"/>
      <c r="C27" s="4"/>
      <c r="D27" s="4"/>
      <c r="E27" s="233" t="s">
        <v>110</v>
      </c>
      <c r="F27" s="292">
        <v>20000</v>
      </c>
      <c r="G27" s="241"/>
      <c r="H27" s="292">
        <v>20000</v>
      </c>
      <c r="I27" s="111"/>
      <c r="J27" s="292">
        <v>20000</v>
      </c>
      <c r="K27" s="111"/>
      <c r="L27" s="292">
        <v>20000</v>
      </c>
      <c r="M27" s="111"/>
      <c r="N27" s="292">
        <v>20000</v>
      </c>
      <c r="O27" s="172"/>
      <c r="P27" s="4"/>
      <c r="Q27" s="12"/>
      <c r="R27" s="4"/>
      <c r="S27" s="4"/>
      <c r="T27" s="4"/>
      <c r="U27" s="4"/>
      <c r="V27" s="4"/>
      <c r="W27" s="4"/>
      <c r="X27" s="4"/>
      <c r="Y27" s="4"/>
      <c r="Z27" s="4"/>
      <c r="AA27" s="4"/>
      <c r="AB27" s="4"/>
      <c r="AC27" s="4"/>
      <c r="AD27" s="4"/>
    </row>
    <row r="28" spans="1:30" ht="12.75">
      <c r="A28" s="4"/>
      <c r="B28" s="12"/>
      <c r="C28" s="4"/>
      <c r="D28" s="4"/>
      <c r="E28" s="233" t="s">
        <v>111</v>
      </c>
      <c r="F28" s="292">
        <f>SUM(Task_3_Canadian_Sales_Forecasts!M52)</f>
        <v>201034</v>
      </c>
      <c r="G28" s="241"/>
      <c r="H28" s="292">
        <f>SUM(Task_3_Canadian_Sales_Forecasts!K52)</f>
        <v>194273.49</v>
      </c>
      <c r="I28" s="111"/>
      <c r="J28" s="292">
        <f>SUM(Task_3_Canadian_Sales_Forecasts!I52)</f>
        <v>187670.71115</v>
      </c>
      <c r="K28" s="111"/>
      <c r="L28" s="292">
        <f>SUM(Task_3_Canadian_Sales_Forecasts!G52)</f>
        <v>181304.24670750002</v>
      </c>
      <c r="M28" s="111"/>
      <c r="N28" s="292">
        <f>SUM(Task_3_Canadian_Sales_Forecasts!E52)</f>
        <v>185119.45904287498</v>
      </c>
      <c r="O28" s="172"/>
      <c r="P28" s="4"/>
      <c r="Q28" s="12"/>
      <c r="R28" s="4"/>
      <c r="S28" s="4"/>
      <c r="T28" s="4"/>
      <c r="U28" s="4"/>
      <c r="V28" s="4"/>
      <c r="W28" s="4"/>
      <c r="X28" s="4"/>
      <c r="Y28" s="4"/>
      <c r="Z28" s="4"/>
      <c r="AA28" s="4"/>
      <c r="AB28" s="4"/>
      <c r="AC28" s="4"/>
      <c r="AD28" s="4"/>
    </row>
    <row r="29" spans="1:30" ht="12.75">
      <c r="A29" s="4"/>
      <c r="B29" s="12"/>
      <c r="C29" s="4"/>
      <c r="D29" s="4"/>
      <c r="E29" s="233" t="s">
        <v>112</v>
      </c>
      <c r="F29" s="294">
        <f>F23-SUM(F26:F28)</f>
        <v>54816</v>
      </c>
      <c r="G29" s="241"/>
      <c r="H29" s="294">
        <f>H23-SUM(H26:H28)</f>
        <v>73813.7599999999</v>
      </c>
      <c r="I29" s="241"/>
      <c r="J29" s="294">
        <f>J23-SUM(J26:J28)</f>
        <v>93159.56759999983</v>
      </c>
      <c r="K29" s="241"/>
      <c r="L29" s="294">
        <f>L23-SUM(L26:L28)</f>
        <v>114567.54597999982</v>
      </c>
      <c r="M29" s="241"/>
      <c r="N29" s="294">
        <f>N23-SUM(N26:N28)</f>
        <v>126545.92327899975</v>
      </c>
      <c r="O29" s="255"/>
      <c r="P29" s="4"/>
      <c r="Q29" s="12"/>
      <c r="R29" s="4"/>
      <c r="S29" s="4"/>
      <c r="T29" s="4"/>
      <c r="U29" s="4"/>
      <c r="V29" s="4"/>
      <c r="W29" s="4"/>
      <c r="X29" s="4"/>
      <c r="Y29" s="4"/>
      <c r="Z29" s="4"/>
      <c r="AA29" s="4"/>
      <c r="AB29" s="4"/>
      <c r="AC29" s="4"/>
      <c r="AD29" s="4"/>
    </row>
    <row r="30" spans="1:30" ht="12.75">
      <c r="A30" s="4"/>
      <c r="B30" s="12"/>
      <c r="C30" s="4"/>
      <c r="D30" s="4"/>
      <c r="E30" s="233" t="s">
        <v>113</v>
      </c>
      <c r="F30" s="314">
        <f>F29*0.25</f>
        <v>13704</v>
      </c>
      <c r="G30" s="231"/>
      <c r="H30" s="314">
        <f>H29*0.25</f>
        <v>18453.439999999973</v>
      </c>
      <c r="I30" s="231"/>
      <c r="J30" s="314">
        <f>J29*0.25</f>
        <v>23289.89189999996</v>
      </c>
      <c r="K30" s="231"/>
      <c r="L30" s="314">
        <f>L29*0.25</f>
        <v>28641.886494999955</v>
      </c>
      <c r="M30" s="231"/>
      <c r="N30" s="314">
        <f>N29*0.25</f>
        <v>31636.480819749937</v>
      </c>
      <c r="O30" s="255"/>
      <c r="P30" s="4"/>
      <c r="Q30" s="12"/>
      <c r="R30" s="4"/>
      <c r="S30" s="4"/>
      <c r="T30" s="4"/>
      <c r="U30" s="4"/>
      <c r="V30" s="4"/>
      <c r="W30" s="4"/>
      <c r="X30" s="4"/>
      <c r="Y30" s="4"/>
      <c r="Z30" s="4"/>
      <c r="AA30" s="4"/>
      <c r="AB30" s="4"/>
      <c r="AC30" s="4"/>
      <c r="AD30" s="4"/>
    </row>
    <row r="31" spans="1:30" ht="13.5" thickBot="1">
      <c r="A31" s="4"/>
      <c r="B31" s="12"/>
      <c r="C31" s="4"/>
      <c r="D31" s="4"/>
      <c r="E31" s="233" t="s">
        <v>114</v>
      </c>
      <c r="F31" s="315">
        <f>F29-F30</f>
        <v>41112</v>
      </c>
      <c r="G31" s="231"/>
      <c r="H31" s="315">
        <f>H29-H30</f>
        <v>55360.31999999992</v>
      </c>
      <c r="I31" s="231"/>
      <c r="J31" s="315">
        <f>J29-J30</f>
        <v>69869.67569999988</v>
      </c>
      <c r="K31" s="231"/>
      <c r="L31" s="315">
        <f>L29-L30</f>
        <v>85925.65948499987</v>
      </c>
      <c r="M31" s="231"/>
      <c r="N31" s="294">
        <f>N29-N30</f>
        <v>94909.44245924981</v>
      </c>
      <c r="O31" s="255"/>
      <c r="P31" s="4"/>
      <c r="Q31" s="12"/>
      <c r="R31" s="4"/>
      <c r="S31" s="4"/>
      <c r="T31" s="4"/>
      <c r="U31" s="4"/>
      <c r="V31" s="4"/>
      <c r="W31" s="4"/>
      <c r="X31" s="4"/>
      <c r="Y31" s="4"/>
      <c r="Z31" s="4"/>
      <c r="AA31" s="4"/>
      <c r="AB31" s="4"/>
      <c r="AC31" s="4"/>
      <c r="AD31" s="4"/>
    </row>
    <row r="32" spans="1:30" ht="13.5" thickTop="1">
      <c r="A32" s="4"/>
      <c r="B32" s="12"/>
      <c r="C32" s="4"/>
      <c r="D32" s="4"/>
      <c r="E32" s="233" t="s">
        <v>115</v>
      </c>
      <c r="F32" s="314">
        <f>F31+F27</f>
        <v>61112</v>
      </c>
      <c r="G32" s="231"/>
      <c r="H32" s="314">
        <f>H31+H27</f>
        <v>75360.31999999992</v>
      </c>
      <c r="I32" s="231"/>
      <c r="J32" s="314">
        <f>J31+J27</f>
        <v>89869.67569999988</v>
      </c>
      <c r="K32" s="231"/>
      <c r="L32" s="314">
        <f>L31+L27</f>
        <v>105925.65948499987</v>
      </c>
      <c r="M32" s="231"/>
      <c r="N32" s="314">
        <f>N31+N27</f>
        <v>114909.44245924981</v>
      </c>
      <c r="O32" s="241"/>
      <c r="P32" s="4"/>
      <c r="Q32" s="12"/>
      <c r="R32" s="4"/>
      <c r="S32" s="4"/>
      <c r="T32" s="4"/>
      <c r="U32" s="4"/>
      <c r="V32" s="4"/>
      <c r="W32" s="4"/>
      <c r="X32" s="4"/>
      <c r="Y32" s="4"/>
      <c r="Z32" s="4"/>
      <c r="AA32" s="4"/>
      <c r="AB32" s="4"/>
      <c r="AC32" s="4"/>
      <c r="AD32" s="4"/>
    </row>
    <row r="33" spans="1:30" ht="12.75">
      <c r="A33" s="4"/>
      <c r="B33" s="12"/>
      <c r="C33" s="4"/>
      <c r="D33" s="4"/>
      <c r="E33" s="233"/>
      <c r="F33" s="231" t="s">
        <v>2</v>
      </c>
      <c r="G33" s="231"/>
      <c r="H33" s="231"/>
      <c r="I33" s="231"/>
      <c r="J33" s="231"/>
      <c r="K33" s="231"/>
      <c r="L33" s="231"/>
      <c r="M33" s="231"/>
      <c r="N33" s="231"/>
      <c r="O33" s="241"/>
      <c r="P33" s="4"/>
      <c r="Q33" s="12"/>
      <c r="R33" s="4"/>
      <c r="S33" s="4"/>
      <c r="T33" s="4"/>
      <c r="U33" s="4"/>
      <c r="V33" s="4"/>
      <c r="W33" s="4"/>
      <c r="X33" s="4"/>
      <c r="Y33" s="4"/>
      <c r="Z33" s="4"/>
      <c r="AA33" s="4"/>
      <c r="AB33" s="4"/>
      <c r="AC33" s="4"/>
      <c r="AD33" s="4"/>
    </row>
    <row r="34" spans="1:30" ht="12.75">
      <c r="A34" s="4"/>
      <c r="B34" s="12"/>
      <c r="C34" s="4"/>
      <c r="D34" s="4"/>
      <c r="E34" s="233"/>
      <c r="F34" s="233"/>
      <c r="G34" s="233"/>
      <c r="H34" s="94"/>
      <c r="I34" s="94"/>
      <c r="J34" s="94"/>
      <c r="K34" s="94"/>
      <c r="L34" s="94"/>
      <c r="M34" s="94"/>
      <c r="N34" s="94"/>
      <c r="O34" s="94"/>
      <c r="P34" s="4"/>
      <c r="Q34" s="12"/>
      <c r="R34" s="4"/>
      <c r="S34" s="4"/>
      <c r="T34" s="4"/>
      <c r="U34" s="4"/>
      <c r="V34" s="4"/>
      <c r="W34" s="4"/>
      <c r="X34" s="4"/>
      <c r="Y34" s="4"/>
      <c r="Z34" s="4"/>
      <c r="AA34" s="4"/>
      <c r="AB34" s="4"/>
      <c r="AC34" s="4"/>
      <c r="AD34" s="4"/>
    </row>
    <row r="35" spans="1:30" ht="12.75">
      <c r="A35" s="4"/>
      <c r="B35" s="12"/>
      <c r="C35" s="4"/>
      <c r="D35" s="12"/>
      <c r="E35" s="299"/>
      <c r="F35" s="299"/>
      <c r="G35" s="299"/>
      <c r="H35" s="154"/>
      <c r="I35" s="154"/>
      <c r="J35" s="154"/>
      <c r="K35" s="154"/>
      <c r="L35" s="154"/>
      <c r="M35" s="154"/>
      <c r="N35" s="154"/>
      <c r="O35" s="154"/>
      <c r="P35" s="4"/>
      <c r="Q35" s="12"/>
      <c r="R35" s="4"/>
      <c r="S35" s="4"/>
      <c r="T35" s="4"/>
      <c r="U35" s="4"/>
      <c r="V35" s="4"/>
      <c r="W35" s="4"/>
      <c r="X35" s="4"/>
      <c r="Y35" s="4"/>
      <c r="Z35" s="4"/>
      <c r="AA35" s="4"/>
      <c r="AB35" s="4"/>
      <c r="AC35" s="4"/>
      <c r="AD35" s="4"/>
    </row>
    <row r="36" spans="1:30" ht="12.75">
      <c r="A36" s="4"/>
      <c r="B36" s="12"/>
      <c r="C36" s="4"/>
      <c r="D36" s="4"/>
      <c r="E36" s="233"/>
      <c r="F36" s="233"/>
      <c r="G36" s="233"/>
      <c r="H36" s="94"/>
      <c r="I36" s="94"/>
      <c r="J36" s="94"/>
      <c r="K36" s="94"/>
      <c r="L36" s="94"/>
      <c r="M36" s="94"/>
      <c r="N36" s="94"/>
      <c r="O36" s="94"/>
      <c r="P36" s="4"/>
      <c r="Q36" s="12"/>
      <c r="R36" s="4"/>
      <c r="S36" s="4"/>
      <c r="T36" s="4"/>
      <c r="U36" s="4"/>
      <c r="V36" s="4"/>
      <c r="W36" s="4"/>
      <c r="X36" s="4"/>
      <c r="Y36" s="4"/>
      <c r="Z36" s="4"/>
      <c r="AA36" s="4"/>
      <c r="AB36" s="4"/>
      <c r="AC36" s="4"/>
      <c r="AD36" s="4"/>
    </row>
    <row r="37" spans="1:30" ht="12.75">
      <c r="A37" s="4"/>
      <c r="B37" s="12"/>
      <c r="C37" s="4"/>
      <c r="D37" s="4"/>
      <c r="E37" s="235" t="s">
        <v>138</v>
      </c>
      <c r="F37" s="233"/>
      <c r="G37" s="233"/>
      <c r="H37" s="370"/>
      <c r="I37" s="370"/>
      <c r="J37" s="379">
        <v>0.1</v>
      </c>
      <c r="K37" s="370"/>
      <c r="L37" s="370" t="s">
        <v>118</v>
      </c>
      <c r="M37" s="276"/>
      <c r="N37" s="276"/>
      <c r="O37" s="276"/>
      <c r="P37" s="4"/>
      <c r="Q37" s="12"/>
      <c r="R37" s="4"/>
      <c r="S37" s="4"/>
      <c r="T37" s="4"/>
      <c r="U37" s="4"/>
      <c r="V37" s="4"/>
      <c r="W37" s="4"/>
      <c r="X37" s="4"/>
      <c r="Y37" s="4"/>
      <c r="Z37" s="4"/>
      <c r="AA37" s="4"/>
      <c r="AB37" s="4"/>
      <c r="AC37" s="4"/>
      <c r="AD37" s="4"/>
    </row>
    <row r="38" spans="1:30" ht="12.75">
      <c r="A38" s="4"/>
      <c r="B38" s="12"/>
      <c r="C38" s="4"/>
      <c r="D38" s="4"/>
      <c r="E38" s="233"/>
      <c r="F38" s="233"/>
      <c r="G38" s="233"/>
      <c r="H38" s="183" t="s">
        <v>116</v>
      </c>
      <c r="I38" s="183"/>
      <c r="J38" s="183" t="s">
        <v>119</v>
      </c>
      <c r="K38" s="183"/>
      <c r="L38" s="183" t="s">
        <v>120</v>
      </c>
      <c r="M38" s="183"/>
      <c r="N38" s="183"/>
      <c r="O38" s="183"/>
      <c r="P38" s="4"/>
      <c r="Q38" s="12"/>
      <c r="R38" s="4"/>
      <c r="S38" s="4"/>
      <c r="T38" s="4"/>
      <c r="U38" s="4"/>
      <c r="V38" s="4"/>
      <c r="W38" s="4"/>
      <c r="X38" s="4"/>
      <c r="Y38" s="4"/>
      <c r="Z38" s="4"/>
      <c r="AA38" s="4"/>
      <c r="AB38" s="4"/>
      <c r="AC38" s="4"/>
      <c r="AD38" s="4"/>
    </row>
    <row r="39" spans="1:30" ht="12.75">
      <c r="A39" s="4"/>
      <c r="B39" s="12"/>
      <c r="C39" s="4"/>
      <c r="D39" s="4"/>
      <c r="E39" s="300" t="s">
        <v>136</v>
      </c>
      <c r="F39" s="300"/>
      <c r="G39" s="300"/>
      <c r="H39" s="234">
        <f>F17</f>
        <v>61112</v>
      </c>
      <c r="I39" s="172"/>
      <c r="J39" s="139">
        <v>0.909</v>
      </c>
      <c r="K39" s="94"/>
      <c r="L39" s="301">
        <f>H39*J39</f>
        <v>55550.808000000005</v>
      </c>
      <c r="M39" s="186"/>
      <c r="N39" s="183"/>
      <c r="O39" s="183"/>
      <c r="P39" s="4"/>
      <c r="Q39" s="12"/>
      <c r="R39" s="4"/>
      <c r="S39" s="4"/>
      <c r="T39" s="4"/>
      <c r="U39" s="4"/>
      <c r="V39" s="4"/>
      <c r="W39" s="4"/>
      <c r="X39" s="4"/>
      <c r="Y39" s="4"/>
      <c r="Z39" s="4"/>
      <c r="AA39" s="4"/>
      <c r="AB39" s="4"/>
      <c r="AC39" s="4"/>
      <c r="AD39" s="4"/>
    </row>
    <row r="40" spans="1:30" ht="12.75">
      <c r="A40" s="4"/>
      <c r="B40" s="12"/>
      <c r="C40" s="4"/>
      <c r="D40" s="4"/>
      <c r="E40" s="300" t="s">
        <v>137</v>
      </c>
      <c r="F40" s="300"/>
      <c r="G40" s="300"/>
      <c r="H40" s="302">
        <f>H17</f>
        <v>68535.61999999994</v>
      </c>
      <c r="I40" s="172"/>
      <c r="J40" s="140">
        <v>0.826</v>
      </c>
      <c r="K40" s="94"/>
      <c r="L40" s="301">
        <f aca="true" t="shared" si="0" ref="L40:L45">H40*J40</f>
        <v>56610.422119999945</v>
      </c>
      <c r="M40" s="186"/>
      <c r="N40" s="94"/>
      <c r="O40" s="94"/>
      <c r="P40" s="4"/>
      <c r="Q40" s="12"/>
      <c r="R40" s="4"/>
      <c r="S40" s="4"/>
      <c r="T40" s="4"/>
      <c r="U40" s="4"/>
      <c r="V40" s="4"/>
      <c r="W40" s="4"/>
      <c r="X40" s="4"/>
      <c r="Y40" s="4"/>
      <c r="Z40" s="4"/>
      <c r="AA40" s="4"/>
      <c r="AB40" s="4"/>
      <c r="AC40" s="4"/>
      <c r="AD40" s="4"/>
    </row>
    <row r="41" spans="1:30" ht="12.75">
      <c r="A41" s="4"/>
      <c r="B41" s="12"/>
      <c r="C41" s="4"/>
      <c r="D41" s="4"/>
      <c r="E41" s="300" t="s">
        <v>88</v>
      </c>
      <c r="F41" s="300"/>
      <c r="G41" s="300"/>
      <c r="H41" s="302">
        <f>J17</f>
        <v>75875.9762</v>
      </c>
      <c r="I41" s="172"/>
      <c r="J41" s="97">
        <v>0.751</v>
      </c>
      <c r="K41" s="94"/>
      <c r="L41" s="301">
        <f t="shared" si="0"/>
        <v>56982.8581262</v>
      </c>
      <c r="M41" s="186"/>
      <c r="N41" s="94"/>
      <c r="O41" s="94"/>
      <c r="P41" s="4"/>
      <c r="Q41" s="12"/>
      <c r="R41" s="4"/>
      <c r="S41" s="4"/>
      <c r="T41" s="4"/>
      <c r="U41" s="4"/>
      <c r="V41" s="4"/>
      <c r="W41" s="4"/>
      <c r="X41" s="4"/>
      <c r="Y41" s="4"/>
      <c r="Z41" s="4"/>
      <c r="AA41" s="4"/>
      <c r="AB41" s="4"/>
      <c r="AC41" s="4"/>
      <c r="AD41" s="4"/>
    </row>
    <row r="42" spans="1:30" ht="12.75">
      <c r="A42" s="4"/>
      <c r="B42" s="12"/>
      <c r="C42" s="4"/>
      <c r="D42" s="4"/>
      <c r="E42" s="300" t="s">
        <v>133</v>
      </c>
      <c r="F42" s="300"/>
      <c r="G42" s="300"/>
      <c r="H42" s="302">
        <f>L17</f>
        <v>85154.15197399998</v>
      </c>
      <c r="I42" s="172"/>
      <c r="J42" s="140">
        <v>0.683</v>
      </c>
      <c r="K42" s="94"/>
      <c r="L42" s="301">
        <f t="shared" si="0"/>
        <v>58160.28579824199</v>
      </c>
      <c r="M42" s="186"/>
      <c r="N42" s="94"/>
      <c r="O42" s="94"/>
      <c r="P42" s="4"/>
      <c r="Q42" s="12"/>
      <c r="R42" s="4"/>
      <c r="S42" s="4"/>
      <c r="T42" s="4"/>
      <c r="U42" s="4"/>
      <c r="V42" s="4"/>
      <c r="W42" s="4"/>
      <c r="X42" s="4"/>
      <c r="Y42" s="4"/>
      <c r="Z42" s="4"/>
      <c r="AA42" s="4"/>
      <c r="AB42" s="4"/>
      <c r="AC42" s="4"/>
      <c r="AD42" s="4"/>
    </row>
    <row r="43" spans="1:30" ht="12.75">
      <c r="A43" s="4"/>
      <c r="B43" s="12"/>
      <c r="C43" s="4"/>
      <c r="D43" s="4"/>
      <c r="E43" s="233" t="s">
        <v>89</v>
      </c>
      <c r="F43" s="233"/>
      <c r="G43" s="233"/>
      <c r="H43" s="302">
        <f>N17</f>
        <v>86899.67407598003</v>
      </c>
      <c r="I43" s="172"/>
      <c r="J43" s="140">
        <v>0.621</v>
      </c>
      <c r="K43" s="94"/>
      <c r="L43" s="301">
        <f t="shared" si="0"/>
        <v>53964.6976011836</v>
      </c>
      <c r="M43" s="186"/>
      <c r="N43" s="94"/>
      <c r="O43" s="94"/>
      <c r="P43" s="4"/>
      <c r="Q43" s="12"/>
      <c r="R43" s="4"/>
      <c r="S43" s="4"/>
      <c r="T43" s="4"/>
      <c r="U43" s="4"/>
      <c r="V43" s="4"/>
      <c r="W43" s="4"/>
      <c r="X43" s="4"/>
      <c r="Y43" s="4"/>
      <c r="Z43" s="4"/>
      <c r="AA43" s="4"/>
      <c r="AB43" s="4"/>
      <c r="AC43" s="4"/>
      <c r="AD43" s="4"/>
    </row>
    <row r="44" spans="1:30" ht="12.75">
      <c r="A44" s="4"/>
      <c r="B44" s="12"/>
      <c r="C44" s="4"/>
      <c r="D44" s="4"/>
      <c r="E44" s="233" t="s">
        <v>124</v>
      </c>
      <c r="F44" s="233"/>
      <c r="G44" s="233"/>
      <c r="H44" s="302">
        <v>200000</v>
      </c>
      <c r="I44" s="172"/>
      <c r="J44" s="140">
        <v>0.621</v>
      </c>
      <c r="K44" s="94"/>
      <c r="L44" s="301">
        <f t="shared" si="0"/>
        <v>124200</v>
      </c>
      <c r="M44" s="186"/>
      <c r="N44" s="94"/>
      <c r="O44" s="94"/>
      <c r="P44" s="4"/>
      <c r="Q44" s="12"/>
      <c r="R44" s="4"/>
      <c r="S44" s="4"/>
      <c r="T44" s="4"/>
      <c r="U44" s="4"/>
      <c r="V44" s="4"/>
      <c r="W44" s="4"/>
      <c r="X44" s="4"/>
      <c r="Y44" s="4"/>
      <c r="Z44" s="4"/>
      <c r="AA44" s="4"/>
      <c r="AB44" s="4"/>
      <c r="AC44" s="4"/>
      <c r="AD44" s="4"/>
    </row>
    <row r="45" spans="1:30" ht="12.75">
      <c r="A45" s="4"/>
      <c r="B45" s="12"/>
      <c r="C45" s="4"/>
      <c r="D45" s="4"/>
      <c r="E45" s="233" t="s">
        <v>125</v>
      </c>
      <c r="F45" s="233"/>
      <c r="G45" s="233"/>
      <c r="H45" s="142">
        <v>250000</v>
      </c>
      <c r="I45" s="172"/>
      <c r="J45" s="97">
        <v>0.621</v>
      </c>
      <c r="K45" s="94"/>
      <c r="L45" s="301">
        <f t="shared" si="0"/>
        <v>155250</v>
      </c>
      <c r="M45" s="186"/>
      <c r="N45" s="94"/>
      <c r="O45" s="94"/>
      <c r="P45" s="4"/>
      <c r="Q45" s="12"/>
      <c r="R45" s="4"/>
      <c r="S45" s="4"/>
      <c r="T45" s="4"/>
      <c r="U45" s="4"/>
      <c r="V45" s="4"/>
      <c r="W45" s="4"/>
      <c r="X45" s="4"/>
      <c r="Y45" s="4"/>
      <c r="Z45" s="4"/>
      <c r="AA45" s="4"/>
      <c r="AB45" s="4"/>
      <c r="AC45" s="4"/>
      <c r="AD45" s="4"/>
    </row>
    <row r="46" spans="1:30" ht="12.75">
      <c r="A46" s="4"/>
      <c r="B46" s="12"/>
      <c r="C46" s="4"/>
      <c r="D46" s="4"/>
      <c r="E46" s="233"/>
      <c r="F46" s="233"/>
      <c r="G46" s="233"/>
      <c r="H46" s="172"/>
      <c r="I46" s="172"/>
      <c r="J46" s="94"/>
      <c r="K46" s="94"/>
      <c r="L46" s="303"/>
      <c r="M46" s="94"/>
      <c r="N46" s="94"/>
      <c r="O46" s="94"/>
      <c r="P46" s="4"/>
      <c r="Q46" s="12"/>
      <c r="R46" s="4"/>
      <c r="S46" s="4"/>
      <c r="T46" s="4"/>
      <c r="U46" s="4"/>
      <c r="V46" s="4"/>
      <c r="W46" s="4"/>
      <c r="X46" s="4"/>
      <c r="Y46" s="4"/>
      <c r="Z46" s="4"/>
      <c r="AA46" s="4"/>
      <c r="AB46" s="4"/>
      <c r="AC46" s="4"/>
      <c r="AD46" s="4"/>
    </row>
    <row r="47" spans="1:30" ht="12.75">
      <c r="A47" s="4"/>
      <c r="B47" s="12"/>
      <c r="C47" s="4"/>
      <c r="D47" s="4"/>
      <c r="E47" s="233" t="s">
        <v>126</v>
      </c>
      <c r="F47" s="233"/>
      <c r="G47" s="233"/>
      <c r="H47" s="94"/>
      <c r="I47" s="94"/>
      <c r="J47" s="94"/>
      <c r="K47" s="94"/>
      <c r="L47" s="302">
        <f>SUM(L39:L45)</f>
        <v>560719.0716456255</v>
      </c>
      <c r="M47" s="172"/>
      <c r="N47" s="94"/>
      <c r="O47" s="94"/>
      <c r="P47" s="4"/>
      <c r="Q47" s="12"/>
      <c r="R47" s="4"/>
      <c r="S47" s="4"/>
      <c r="T47" s="4"/>
      <c r="U47" s="4"/>
      <c r="V47" s="4"/>
      <c r="W47" s="4"/>
      <c r="X47" s="4"/>
      <c r="Y47" s="4"/>
      <c r="Z47" s="4"/>
      <c r="AA47" s="4"/>
      <c r="AB47" s="4"/>
      <c r="AC47" s="4"/>
      <c r="AD47" s="4"/>
    </row>
    <row r="48" spans="1:30" ht="13.5" thickBot="1">
      <c r="A48" s="4"/>
      <c r="B48" s="12"/>
      <c r="C48" s="4"/>
      <c r="D48" s="4"/>
      <c r="E48" s="233" t="s">
        <v>127</v>
      </c>
      <c r="F48" s="233"/>
      <c r="G48" s="233"/>
      <c r="H48" s="94"/>
      <c r="I48" s="94"/>
      <c r="J48" s="94"/>
      <c r="K48" s="94"/>
      <c r="L48" s="238">
        <v>600000</v>
      </c>
      <c r="M48" s="94"/>
      <c r="N48" s="94"/>
      <c r="O48" s="94"/>
      <c r="P48" s="4"/>
      <c r="Q48" s="12"/>
      <c r="R48" s="4"/>
      <c r="S48" s="4"/>
      <c r="T48" s="4"/>
      <c r="U48" s="4"/>
      <c r="V48" s="4"/>
      <c r="W48" s="4"/>
      <c r="X48" s="4"/>
      <c r="Y48" s="4"/>
      <c r="Z48" s="4"/>
      <c r="AA48" s="4"/>
      <c r="AB48" s="4"/>
      <c r="AC48" s="4"/>
      <c r="AD48" s="4"/>
    </row>
    <row r="49" spans="1:30" ht="13.5" thickTop="1">
      <c r="A49" s="4"/>
      <c r="B49" s="12"/>
      <c r="C49" s="4"/>
      <c r="D49" s="4"/>
      <c r="E49" s="233" t="s">
        <v>128</v>
      </c>
      <c r="F49" s="233"/>
      <c r="G49" s="233"/>
      <c r="H49" s="95"/>
      <c r="I49" s="95"/>
      <c r="J49" s="95"/>
      <c r="K49" s="94"/>
      <c r="L49" s="236">
        <f>L47-L48</f>
        <v>-39280.92835437448</v>
      </c>
      <c r="M49" s="172"/>
      <c r="N49" s="94"/>
      <c r="O49" s="94"/>
      <c r="P49" s="4"/>
      <c r="Q49" s="12"/>
      <c r="R49" s="4"/>
      <c r="S49" s="4"/>
      <c r="T49" s="4"/>
      <c r="U49" s="4"/>
      <c r="V49" s="4"/>
      <c r="W49" s="4"/>
      <c r="X49" s="4"/>
      <c r="Y49" s="4"/>
      <c r="Z49" s="4"/>
      <c r="AA49" s="4"/>
      <c r="AB49" s="4"/>
      <c r="AC49" s="4"/>
      <c r="AD49" s="4"/>
    </row>
    <row r="50" spans="1:30" ht="12.75">
      <c r="A50" s="4"/>
      <c r="B50" s="12"/>
      <c r="C50" s="4"/>
      <c r="D50" s="4"/>
      <c r="E50" s="233"/>
      <c r="F50" s="233"/>
      <c r="G50" s="233"/>
      <c r="H50" s="95"/>
      <c r="I50" s="95"/>
      <c r="J50" s="95"/>
      <c r="K50" s="94"/>
      <c r="L50" s="228"/>
      <c r="M50" s="172"/>
      <c r="N50" s="94"/>
      <c r="O50" s="94"/>
      <c r="P50" s="4"/>
      <c r="Q50" s="12"/>
      <c r="R50" s="4"/>
      <c r="S50" s="4"/>
      <c r="T50" s="4"/>
      <c r="U50" s="4"/>
      <c r="V50" s="4"/>
      <c r="W50" s="4"/>
      <c r="X50" s="4"/>
      <c r="Y50" s="4"/>
      <c r="Z50" s="4"/>
      <c r="AA50" s="4"/>
      <c r="AB50" s="4"/>
      <c r="AC50" s="4"/>
      <c r="AD50" s="4"/>
    </row>
    <row r="51" spans="1:30" ht="12.75">
      <c r="A51" s="4"/>
      <c r="B51" s="12"/>
      <c r="C51" s="12"/>
      <c r="D51" s="12"/>
      <c r="E51" s="299"/>
      <c r="F51" s="299"/>
      <c r="G51" s="299"/>
      <c r="H51" s="125"/>
      <c r="I51" s="125"/>
      <c r="J51" s="125"/>
      <c r="K51" s="154"/>
      <c r="L51" s="312"/>
      <c r="M51" s="313"/>
      <c r="N51" s="154"/>
      <c r="O51" s="154"/>
      <c r="P51" s="12"/>
      <c r="Q51" s="12"/>
      <c r="R51" s="4"/>
      <c r="S51" s="4"/>
      <c r="T51" s="4"/>
      <c r="U51" s="4"/>
      <c r="V51" s="4"/>
      <c r="W51" s="4"/>
      <c r="X51" s="4"/>
      <c r="Y51" s="4"/>
      <c r="Z51" s="4"/>
      <c r="AA51" s="4"/>
      <c r="AB51" s="4"/>
      <c r="AC51" s="4"/>
      <c r="AD51" s="4"/>
    </row>
    <row r="52" spans="1:30" ht="12.75">
      <c r="A52" s="4"/>
      <c r="B52" s="12"/>
      <c r="C52" s="4"/>
      <c r="D52" s="4"/>
      <c r="E52" s="233"/>
      <c r="F52" s="233"/>
      <c r="G52" s="233"/>
      <c r="H52" s="95"/>
      <c r="I52" s="95"/>
      <c r="J52" s="95"/>
      <c r="K52" s="94"/>
      <c r="L52" s="94"/>
      <c r="M52" s="172"/>
      <c r="N52" s="94"/>
      <c r="O52" s="94"/>
      <c r="P52" s="4"/>
      <c r="Q52" s="12"/>
      <c r="R52" s="4"/>
      <c r="S52" s="4"/>
      <c r="T52" s="4"/>
      <c r="U52" s="4"/>
      <c r="V52" s="4"/>
      <c r="W52" s="4"/>
      <c r="X52" s="4"/>
      <c r="Y52" s="4"/>
      <c r="Z52" s="4"/>
      <c r="AA52" s="4"/>
      <c r="AB52" s="4"/>
      <c r="AC52" s="4"/>
      <c r="AD52" s="4"/>
    </row>
    <row r="53" spans="1:30" ht="12.75">
      <c r="A53" s="4"/>
      <c r="B53" s="12"/>
      <c r="C53" s="4"/>
      <c r="D53" s="4"/>
      <c r="E53" s="235" t="s">
        <v>139</v>
      </c>
      <c r="F53" s="233"/>
      <c r="G53" s="233"/>
      <c r="H53" s="370"/>
      <c r="I53" s="370"/>
      <c r="J53" s="379">
        <v>0.1</v>
      </c>
      <c r="K53" s="370"/>
      <c r="L53" s="370" t="s">
        <v>118</v>
      </c>
      <c r="M53" s="172"/>
      <c r="N53" s="94"/>
      <c r="O53" s="94"/>
      <c r="P53" s="4"/>
      <c r="Q53" s="12"/>
      <c r="R53" s="4"/>
      <c r="S53" s="4"/>
      <c r="T53" s="4"/>
      <c r="U53" s="4"/>
      <c r="V53" s="4"/>
      <c r="W53" s="4"/>
      <c r="X53" s="4"/>
      <c r="Y53" s="4"/>
      <c r="Z53" s="4"/>
      <c r="AA53" s="4"/>
      <c r="AB53" s="4"/>
      <c r="AC53" s="4"/>
      <c r="AD53" s="4"/>
    </row>
    <row r="54" spans="1:30" ht="12.75">
      <c r="A54" s="4"/>
      <c r="B54" s="12"/>
      <c r="C54" s="4"/>
      <c r="D54" s="4"/>
      <c r="E54" s="233"/>
      <c r="F54" s="233"/>
      <c r="G54" s="233"/>
      <c r="H54" s="183" t="s">
        <v>116</v>
      </c>
      <c r="I54" s="183"/>
      <c r="J54" s="183" t="s">
        <v>119</v>
      </c>
      <c r="K54" s="183"/>
      <c r="L54" s="183" t="s">
        <v>120</v>
      </c>
      <c r="M54" s="172"/>
      <c r="N54" s="94"/>
      <c r="O54" s="94"/>
      <c r="P54" s="4"/>
      <c r="Q54" s="12"/>
      <c r="R54" s="4"/>
      <c r="S54" s="4"/>
      <c r="T54" s="4"/>
      <c r="U54" s="4"/>
      <c r="V54" s="4"/>
      <c r="W54" s="4"/>
      <c r="X54" s="4"/>
      <c r="Y54" s="4"/>
      <c r="Z54" s="4"/>
      <c r="AA54" s="4"/>
      <c r="AB54" s="4"/>
      <c r="AC54" s="4"/>
      <c r="AD54" s="4"/>
    </row>
    <row r="55" spans="1:30" ht="12.75">
      <c r="A55" s="4"/>
      <c r="B55" s="12"/>
      <c r="C55" s="4"/>
      <c r="D55" s="4"/>
      <c r="E55" s="300" t="s">
        <v>136</v>
      </c>
      <c r="F55" s="300"/>
      <c r="G55" s="300"/>
      <c r="H55" s="234">
        <f>F32</f>
        <v>61112</v>
      </c>
      <c r="I55" s="172"/>
      <c r="J55" s="139">
        <v>0.909</v>
      </c>
      <c r="K55" s="94"/>
      <c r="L55" s="301">
        <f aca="true" t="shared" si="1" ref="L55:L61">H55*J55</f>
        <v>55550.808000000005</v>
      </c>
      <c r="M55" s="172"/>
      <c r="N55" s="94"/>
      <c r="O55" s="94"/>
      <c r="P55" s="4"/>
      <c r="Q55" s="12"/>
      <c r="R55" s="4"/>
      <c r="S55" s="4"/>
      <c r="T55" s="4"/>
      <c r="U55" s="4"/>
      <c r="V55" s="4"/>
      <c r="W55" s="4"/>
      <c r="X55" s="4"/>
      <c r="Y55" s="4"/>
      <c r="Z55" s="4"/>
      <c r="AA55" s="4"/>
      <c r="AB55" s="4"/>
      <c r="AC55" s="4"/>
      <c r="AD55" s="4"/>
    </row>
    <row r="56" spans="1:30" ht="12.75">
      <c r="A56" s="4"/>
      <c r="B56" s="12"/>
      <c r="C56" s="4"/>
      <c r="D56" s="4"/>
      <c r="E56" s="300" t="s">
        <v>137</v>
      </c>
      <c r="F56" s="300"/>
      <c r="G56" s="300"/>
      <c r="H56" s="302">
        <f>H32</f>
        <v>75360.31999999992</v>
      </c>
      <c r="I56" s="172"/>
      <c r="J56" s="140">
        <v>0.826</v>
      </c>
      <c r="K56" s="94"/>
      <c r="L56" s="301">
        <f t="shared" si="1"/>
        <v>62247.62431999993</v>
      </c>
      <c r="M56" s="172"/>
      <c r="N56" s="94"/>
      <c r="O56" s="94"/>
      <c r="P56" s="4"/>
      <c r="Q56" s="12"/>
      <c r="R56" s="4"/>
      <c r="S56" s="4"/>
      <c r="T56" s="4"/>
      <c r="U56" s="4"/>
      <c r="V56" s="4"/>
      <c r="W56" s="4"/>
      <c r="X56" s="4"/>
      <c r="Y56" s="4"/>
      <c r="Z56" s="4"/>
      <c r="AA56" s="4"/>
      <c r="AB56" s="4"/>
      <c r="AC56" s="4"/>
      <c r="AD56" s="4"/>
    </row>
    <row r="57" spans="1:30" ht="12.75">
      <c r="A57" s="4"/>
      <c r="B57" s="12"/>
      <c r="C57" s="4"/>
      <c r="D57" s="4"/>
      <c r="E57" s="300" t="s">
        <v>88</v>
      </c>
      <c r="F57" s="300"/>
      <c r="G57" s="300"/>
      <c r="H57" s="302">
        <f>J32</f>
        <v>89869.67569999988</v>
      </c>
      <c r="I57" s="172"/>
      <c r="J57" s="97">
        <v>0.751</v>
      </c>
      <c r="K57" s="94"/>
      <c r="L57" s="301">
        <f t="shared" si="1"/>
        <v>67492.12645069991</v>
      </c>
      <c r="M57" s="172"/>
      <c r="N57" s="94"/>
      <c r="O57" s="94"/>
      <c r="P57" s="4"/>
      <c r="Q57" s="12"/>
      <c r="R57" s="4"/>
      <c r="S57" s="4"/>
      <c r="T57" s="4"/>
      <c r="U57" s="4"/>
      <c r="V57" s="4"/>
      <c r="W57" s="4"/>
      <c r="X57" s="4"/>
      <c r="Y57" s="4"/>
      <c r="Z57" s="4"/>
      <c r="AA57" s="4"/>
      <c r="AB57" s="4"/>
      <c r="AC57" s="4"/>
      <c r="AD57" s="4"/>
    </row>
    <row r="58" spans="1:30" ht="12.75">
      <c r="A58" s="4"/>
      <c r="B58" s="12"/>
      <c r="C58" s="4"/>
      <c r="D58" s="4"/>
      <c r="E58" s="300" t="s">
        <v>133</v>
      </c>
      <c r="F58" s="300"/>
      <c r="G58" s="300"/>
      <c r="H58" s="302">
        <f>L32</f>
        <v>105925.65948499987</v>
      </c>
      <c r="I58" s="172"/>
      <c r="J58" s="140">
        <v>0.683</v>
      </c>
      <c r="K58" s="94"/>
      <c r="L58" s="301">
        <f t="shared" si="1"/>
        <v>72347.22542825491</v>
      </c>
      <c r="M58" s="172"/>
      <c r="N58" s="94"/>
      <c r="O58" s="94"/>
      <c r="P58" s="4"/>
      <c r="Q58" s="12"/>
      <c r="R58" s="4"/>
      <c r="S58" s="4"/>
      <c r="T58" s="4"/>
      <c r="U58" s="4"/>
      <c r="V58" s="4"/>
      <c r="W58" s="4"/>
      <c r="X58" s="4"/>
      <c r="Y58" s="4"/>
      <c r="Z58" s="4"/>
      <c r="AA58" s="4"/>
      <c r="AB58" s="4"/>
      <c r="AC58" s="4"/>
      <c r="AD58" s="4"/>
    </row>
    <row r="59" spans="1:30" ht="12.75">
      <c r="A59" s="4"/>
      <c r="B59" s="12"/>
      <c r="C59" s="4"/>
      <c r="D59" s="4"/>
      <c r="E59" s="233" t="s">
        <v>89</v>
      </c>
      <c r="F59" s="233"/>
      <c r="G59" s="233"/>
      <c r="H59" s="302">
        <f>N32</f>
        <v>114909.44245924981</v>
      </c>
      <c r="I59" s="172"/>
      <c r="J59" s="140">
        <v>0.621</v>
      </c>
      <c r="K59" s="94"/>
      <c r="L59" s="301">
        <f t="shared" si="1"/>
        <v>71358.76376719413</v>
      </c>
      <c r="M59" s="172"/>
      <c r="N59" s="94"/>
      <c r="O59" s="94"/>
      <c r="P59" s="4"/>
      <c r="Q59" s="12"/>
      <c r="R59" s="4"/>
      <c r="S59" s="4"/>
      <c r="T59" s="4"/>
      <c r="U59" s="4"/>
      <c r="V59" s="4"/>
      <c r="W59" s="4"/>
      <c r="X59" s="4"/>
      <c r="Y59" s="4"/>
      <c r="Z59" s="4"/>
      <c r="AA59" s="4"/>
      <c r="AB59" s="4"/>
      <c r="AC59" s="4"/>
      <c r="AD59" s="4"/>
    </row>
    <row r="60" spans="1:30" ht="12.75">
      <c r="A60" s="4"/>
      <c r="B60" s="12"/>
      <c r="C60" s="4"/>
      <c r="D60" s="4"/>
      <c r="E60" s="233" t="s">
        <v>124</v>
      </c>
      <c r="F60" s="233"/>
      <c r="G60" s="233"/>
      <c r="H60" s="302">
        <v>200000</v>
      </c>
      <c r="I60" s="172"/>
      <c r="J60" s="140">
        <v>0.621</v>
      </c>
      <c r="K60" s="94"/>
      <c r="L60" s="301">
        <f t="shared" si="1"/>
        <v>124200</v>
      </c>
      <c r="M60" s="172"/>
      <c r="N60" s="94"/>
      <c r="O60" s="94"/>
      <c r="P60" s="4"/>
      <c r="Q60" s="12"/>
      <c r="R60" s="4"/>
      <c r="S60" s="4"/>
      <c r="T60" s="4"/>
      <c r="U60" s="4"/>
      <c r="V60" s="4"/>
      <c r="W60" s="4"/>
      <c r="X60" s="4"/>
      <c r="Y60" s="4"/>
      <c r="Z60" s="4"/>
      <c r="AA60" s="4"/>
      <c r="AB60" s="4"/>
      <c r="AC60" s="4"/>
      <c r="AD60" s="4"/>
    </row>
    <row r="61" spans="1:30" ht="12.75">
      <c r="A61" s="4"/>
      <c r="B61" s="12"/>
      <c r="C61" s="4"/>
      <c r="D61" s="4"/>
      <c r="E61" s="233" t="s">
        <v>125</v>
      </c>
      <c r="F61" s="233"/>
      <c r="G61" s="233"/>
      <c r="H61" s="142">
        <v>250000</v>
      </c>
      <c r="I61" s="172"/>
      <c r="J61" s="97">
        <v>0.621</v>
      </c>
      <c r="K61" s="94"/>
      <c r="L61" s="301">
        <f t="shared" si="1"/>
        <v>155250</v>
      </c>
      <c r="M61" s="172"/>
      <c r="N61" s="94"/>
      <c r="O61" s="94"/>
      <c r="P61" s="4"/>
      <c r="Q61" s="12"/>
      <c r="R61" s="4"/>
      <c r="S61" s="4"/>
      <c r="T61" s="4"/>
      <c r="U61" s="4"/>
      <c r="V61" s="4"/>
      <c r="W61" s="4"/>
      <c r="X61" s="4"/>
      <c r="Y61" s="4"/>
      <c r="Z61" s="4"/>
      <c r="AA61" s="4"/>
      <c r="AB61" s="4"/>
      <c r="AC61" s="4"/>
      <c r="AD61" s="4"/>
    </row>
    <row r="62" spans="1:30" ht="12.75">
      <c r="A62" s="4"/>
      <c r="B62" s="12"/>
      <c r="C62" s="4"/>
      <c r="D62" s="4"/>
      <c r="E62" s="233"/>
      <c r="F62" s="233"/>
      <c r="G62" s="233"/>
      <c r="H62" s="172"/>
      <c r="I62" s="172"/>
      <c r="J62" s="94"/>
      <c r="K62" s="94"/>
      <c r="L62" s="303"/>
      <c r="M62" s="172"/>
      <c r="N62" s="94"/>
      <c r="O62" s="94"/>
      <c r="P62" s="4"/>
      <c r="Q62" s="12"/>
      <c r="R62" s="4"/>
      <c r="S62" s="4"/>
      <c r="T62" s="4"/>
      <c r="U62" s="4"/>
      <c r="V62" s="4"/>
      <c r="W62" s="4"/>
      <c r="X62" s="4"/>
      <c r="Y62" s="4"/>
      <c r="Z62" s="4"/>
      <c r="AA62" s="4"/>
      <c r="AB62" s="4"/>
      <c r="AC62" s="4"/>
      <c r="AD62" s="4"/>
    </row>
    <row r="63" spans="1:30" ht="12.75">
      <c r="A63" s="4"/>
      <c r="B63" s="12"/>
      <c r="C63" s="4"/>
      <c r="D63" s="4"/>
      <c r="E63" s="233" t="s">
        <v>126</v>
      </c>
      <c r="F63" s="233"/>
      <c r="G63" s="233"/>
      <c r="H63" s="94"/>
      <c r="I63" s="94"/>
      <c r="J63" s="94"/>
      <c r="K63" s="94"/>
      <c r="L63" s="302">
        <f>SUM(L55:L61)</f>
        <v>608446.5479661489</v>
      </c>
      <c r="M63" s="172"/>
      <c r="N63" s="94"/>
      <c r="O63" s="94"/>
      <c r="P63" s="4"/>
      <c r="Q63" s="12"/>
      <c r="R63" s="4"/>
      <c r="S63" s="4"/>
      <c r="T63" s="4"/>
      <c r="U63" s="4"/>
      <c r="V63" s="4"/>
      <c r="W63" s="4"/>
      <c r="X63" s="4"/>
      <c r="Y63" s="4"/>
      <c r="Z63" s="4"/>
      <c r="AA63" s="4"/>
      <c r="AB63" s="4"/>
      <c r="AC63" s="4"/>
      <c r="AD63" s="4"/>
    </row>
    <row r="64" spans="1:30" ht="13.5" thickBot="1">
      <c r="A64" s="4"/>
      <c r="B64" s="12"/>
      <c r="C64" s="4"/>
      <c r="D64" s="4"/>
      <c r="E64" s="233" t="s">
        <v>127</v>
      </c>
      <c r="F64" s="233"/>
      <c r="G64" s="233"/>
      <c r="H64" s="94"/>
      <c r="I64" s="94"/>
      <c r="J64" s="94"/>
      <c r="K64" s="94"/>
      <c r="L64" s="238">
        <v>600000</v>
      </c>
      <c r="M64" s="172"/>
      <c r="N64" s="94"/>
      <c r="O64" s="94"/>
      <c r="P64" s="4"/>
      <c r="Q64" s="12"/>
      <c r="R64" s="4"/>
      <c r="S64" s="4"/>
      <c r="T64" s="4"/>
      <c r="U64" s="4"/>
      <c r="V64" s="4"/>
      <c r="W64" s="4"/>
      <c r="X64" s="4"/>
      <c r="Y64" s="4"/>
      <c r="Z64" s="4"/>
      <c r="AA64" s="4"/>
      <c r="AB64" s="4"/>
      <c r="AC64" s="4"/>
      <c r="AD64" s="4"/>
    </row>
    <row r="65" spans="1:30" ht="13.5" thickTop="1">
      <c r="A65" s="4"/>
      <c r="B65" s="12"/>
      <c r="C65" s="4"/>
      <c r="D65" s="4"/>
      <c r="E65" s="233" t="s">
        <v>128</v>
      </c>
      <c r="F65" s="233"/>
      <c r="G65" s="233"/>
      <c r="H65" s="95"/>
      <c r="I65" s="95"/>
      <c r="J65" s="95"/>
      <c r="K65" s="94"/>
      <c r="L65" s="236">
        <f>L63-L64</f>
        <v>8446.547966148937</v>
      </c>
      <c r="M65" s="172"/>
      <c r="N65" s="94"/>
      <c r="O65" s="94"/>
      <c r="P65" s="4"/>
      <c r="Q65" s="12"/>
      <c r="R65" s="4"/>
      <c r="S65" s="4"/>
      <c r="T65" s="4"/>
      <c r="U65" s="4"/>
      <c r="V65" s="4"/>
      <c r="W65" s="4"/>
      <c r="X65" s="4"/>
      <c r="Y65" s="4"/>
      <c r="Z65" s="4"/>
      <c r="AA65" s="4"/>
      <c r="AB65" s="4"/>
      <c r="AC65" s="4"/>
      <c r="AD65" s="4"/>
    </row>
    <row r="66" spans="1:30" ht="12.75">
      <c r="A66" s="4"/>
      <c r="B66" s="12"/>
      <c r="C66" s="4"/>
      <c r="D66" s="4"/>
      <c r="E66" s="233"/>
      <c r="F66" s="233"/>
      <c r="G66" s="233"/>
      <c r="H66" s="95"/>
      <c r="I66" s="95"/>
      <c r="J66" s="95"/>
      <c r="K66" s="94"/>
      <c r="L66" s="228"/>
      <c r="M66" s="172"/>
      <c r="N66" s="94"/>
      <c r="O66" s="94"/>
      <c r="P66" s="4"/>
      <c r="Q66" s="12"/>
      <c r="R66" s="4"/>
      <c r="S66" s="4"/>
      <c r="T66" s="4"/>
      <c r="U66" s="4"/>
      <c r="V66" s="4"/>
      <c r="W66" s="4"/>
      <c r="X66" s="4"/>
      <c r="Y66" s="4"/>
      <c r="Z66" s="4"/>
      <c r="AA66" s="4"/>
      <c r="AB66" s="4"/>
      <c r="AC66" s="4"/>
      <c r="AD66" s="4"/>
    </row>
    <row r="67" spans="1:30" ht="12.75">
      <c r="A67" s="4"/>
      <c r="B67" s="12"/>
      <c r="C67" s="12"/>
      <c r="D67" s="12"/>
      <c r="E67" s="299"/>
      <c r="F67" s="299"/>
      <c r="G67" s="299"/>
      <c r="H67" s="154"/>
      <c r="I67" s="154"/>
      <c r="J67" s="154"/>
      <c r="K67" s="154"/>
      <c r="L67" s="154"/>
      <c r="M67" s="154"/>
      <c r="N67" s="154"/>
      <c r="O67" s="154"/>
      <c r="P67" s="12"/>
      <c r="Q67" s="12"/>
      <c r="R67" s="4"/>
      <c r="S67" s="4"/>
      <c r="T67" s="4"/>
      <c r="U67" s="4"/>
      <c r="V67" s="4"/>
      <c r="W67" s="4"/>
      <c r="X67" s="4"/>
      <c r="Y67" s="4"/>
      <c r="Z67" s="4"/>
      <c r="AA67" s="4"/>
      <c r="AB67" s="4"/>
      <c r="AC67" s="4"/>
      <c r="AD67" s="4"/>
    </row>
    <row r="68" spans="1:30" ht="12.75">
      <c r="A68" s="4"/>
      <c r="B68" s="12"/>
      <c r="C68" s="4"/>
      <c r="D68" s="4"/>
      <c r="E68" s="93"/>
      <c r="F68" s="93"/>
      <c r="G68" s="93"/>
      <c r="H68" s="94"/>
      <c r="I68" s="94"/>
      <c r="J68" s="94"/>
      <c r="K68" s="94"/>
      <c r="L68" s="183"/>
      <c r="M68" s="94"/>
      <c r="N68" s="94"/>
      <c r="O68" s="94"/>
      <c r="P68" s="4"/>
      <c r="Q68" s="12"/>
      <c r="R68" s="4"/>
      <c r="S68" s="4"/>
      <c r="T68" s="4"/>
      <c r="U68" s="4"/>
      <c r="V68" s="4"/>
      <c r="W68" s="4"/>
      <c r="X68" s="4"/>
      <c r="Y68" s="4"/>
      <c r="Z68" s="4"/>
      <c r="AA68" s="4"/>
      <c r="AB68" s="4"/>
      <c r="AC68" s="4"/>
      <c r="AD68" s="4"/>
    </row>
    <row r="69" spans="1:30" ht="12.75">
      <c r="A69" s="4"/>
      <c r="B69" s="12"/>
      <c r="C69" s="4"/>
      <c r="D69" s="4"/>
      <c r="E69" s="304" t="s">
        <v>129</v>
      </c>
      <c r="F69" s="94"/>
      <c r="G69" s="94"/>
      <c r="H69" s="274" t="s">
        <v>140</v>
      </c>
      <c r="I69" s="93"/>
      <c r="J69" s="274" t="s">
        <v>141</v>
      </c>
      <c r="K69" s="93"/>
      <c r="L69" s="274"/>
      <c r="M69" s="94"/>
      <c r="N69" s="94"/>
      <c r="O69" s="94"/>
      <c r="P69" s="4"/>
      <c r="Q69" s="12"/>
      <c r="R69" s="4"/>
      <c r="S69" s="4"/>
      <c r="T69" s="4"/>
      <c r="U69" s="4"/>
      <c r="V69" s="4"/>
      <c r="W69" s="4"/>
      <c r="X69" s="4"/>
      <c r="Y69" s="4"/>
      <c r="Z69" s="4"/>
      <c r="AA69" s="4"/>
      <c r="AB69" s="4"/>
      <c r="AC69" s="4"/>
      <c r="AD69" s="4"/>
    </row>
    <row r="70" spans="1:30" ht="12.75">
      <c r="A70" s="4"/>
      <c r="B70" s="12"/>
      <c r="C70" s="4"/>
      <c r="D70" s="4"/>
      <c r="E70" s="305"/>
      <c r="F70" s="233"/>
      <c r="G70" s="233"/>
      <c r="H70" s="103" t="s">
        <v>116</v>
      </c>
      <c r="I70" s="103"/>
      <c r="J70" s="103" t="s">
        <v>116</v>
      </c>
      <c r="K70" s="103"/>
      <c r="L70" s="103"/>
      <c r="M70" s="183"/>
      <c r="N70" s="94"/>
      <c r="O70" s="94"/>
      <c r="P70" s="4"/>
      <c r="Q70" s="12"/>
      <c r="R70" s="4"/>
      <c r="S70" s="4"/>
      <c r="T70" s="4"/>
      <c r="U70" s="4"/>
      <c r="V70" s="4"/>
      <c r="W70" s="4"/>
      <c r="X70" s="4"/>
      <c r="Y70" s="4"/>
      <c r="Z70" s="4"/>
      <c r="AA70" s="4"/>
      <c r="AB70" s="4"/>
      <c r="AC70" s="4"/>
      <c r="AD70" s="4"/>
    </row>
    <row r="71" spans="1:30" ht="12.75">
      <c r="A71" s="4"/>
      <c r="B71" s="12"/>
      <c r="C71" s="4"/>
      <c r="D71" s="4"/>
      <c r="E71" s="305" t="s">
        <v>127</v>
      </c>
      <c r="F71" s="233"/>
      <c r="G71" s="233"/>
      <c r="H71" s="234">
        <v>-600000</v>
      </c>
      <c r="I71" s="306"/>
      <c r="J71" s="234">
        <v>-600000</v>
      </c>
      <c r="K71" s="306"/>
      <c r="L71" s="307"/>
      <c r="M71" s="183"/>
      <c r="N71" s="94"/>
      <c r="O71" s="94"/>
      <c r="P71" s="4"/>
      <c r="Q71" s="12"/>
      <c r="R71" s="4"/>
      <c r="S71" s="4"/>
      <c r="T71" s="4"/>
      <c r="U71" s="4"/>
      <c r="V71" s="4"/>
      <c r="W71" s="4"/>
      <c r="X71" s="4"/>
      <c r="Y71" s="4"/>
      <c r="Z71" s="4"/>
      <c r="AA71" s="4"/>
      <c r="AB71" s="4"/>
      <c r="AC71" s="4"/>
      <c r="AD71" s="4"/>
    </row>
    <row r="72" spans="1:30" ht="12.75">
      <c r="A72" s="4"/>
      <c r="B72" s="12"/>
      <c r="C72" s="4"/>
      <c r="D72" s="4"/>
      <c r="E72" s="308" t="s">
        <v>117</v>
      </c>
      <c r="F72" s="300"/>
      <c r="G72" s="300"/>
      <c r="H72" s="234">
        <f>F17</f>
        <v>61112</v>
      </c>
      <c r="I72" s="111"/>
      <c r="J72" s="234">
        <f>F32</f>
        <v>61112</v>
      </c>
      <c r="K72" s="111"/>
      <c r="L72" s="143"/>
      <c r="M72" s="186"/>
      <c r="N72" s="94"/>
      <c r="O72" s="94"/>
      <c r="P72" s="4"/>
      <c r="Q72" s="12"/>
      <c r="R72" s="4"/>
      <c r="S72" s="4"/>
      <c r="T72" s="4"/>
      <c r="U72" s="4"/>
      <c r="V72" s="4"/>
      <c r="W72" s="4"/>
      <c r="X72" s="4"/>
      <c r="Y72" s="4"/>
      <c r="Z72" s="4"/>
      <c r="AA72" s="4"/>
      <c r="AB72" s="4"/>
      <c r="AC72" s="4"/>
      <c r="AD72" s="4"/>
    </row>
    <row r="73" spans="1:30" ht="12.75">
      <c r="A73" s="4"/>
      <c r="B73" s="12"/>
      <c r="C73" s="4"/>
      <c r="D73" s="4"/>
      <c r="E73" s="308" t="s">
        <v>121</v>
      </c>
      <c r="F73" s="300"/>
      <c r="G73" s="300"/>
      <c r="H73" s="302">
        <f>H17</f>
        <v>68535.61999999994</v>
      </c>
      <c r="I73" s="111"/>
      <c r="J73" s="302">
        <f>H32</f>
        <v>75360.31999999992</v>
      </c>
      <c r="K73" s="111"/>
      <c r="L73" s="143"/>
      <c r="M73" s="186"/>
      <c r="N73" s="94"/>
      <c r="O73" s="94"/>
      <c r="P73" s="4"/>
      <c r="Q73" s="12"/>
      <c r="R73" s="4"/>
      <c r="S73" s="4"/>
      <c r="T73" s="4"/>
      <c r="U73" s="4"/>
      <c r="V73" s="4"/>
      <c r="W73" s="4"/>
      <c r="X73" s="4"/>
      <c r="Y73" s="4"/>
      <c r="Z73" s="4"/>
      <c r="AA73" s="4"/>
      <c r="AB73" s="4"/>
      <c r="AC73" s="4"/>
      <c r="AD73" s="4"/>
    </row>
    <row r="74" spans="1:30" ht="12.75">
      <c r="A74" s="4"/>
      <c r="B74" s="12"/>
      <c r="C74" s="4"/>
      <c r="D74" s="4"/>
      <c r="E74" s="308" t="s">
        <v>122</v>
      </c>
      <c r="F74" s="300"/>
      <c r="G74" s="300"/>
      <c r="H74" s="302">
        <f>J17</f>
        <v>75875.9762</v>
      </c>
      <c r="I74" s="111"/>
      <c r="J74" s="302">
        <f>J32</f>
        <v>89869.67569999988</v>
      </c>
      <c r="K74" s="111"/>
      <c r="L74" s="143"/>
      <c r="M74" s="186"/>
      <c r="N74" s="94"/>
      <c r="O74" s="94"/>
      <c r="P74" s="4"/>
      <c r="Q74" s="12"/>
      <c r="R74" s="4"/>
      <c r="S74" s="4"/>
      <c r="T74" s="4"/>
      <c r="U74" s="4"/>
      <c r="V74" s="4"/>
      <c r="W74" s="4"/>
      <c r="X74" s="4"/>
      <c r="Y74" s="4"/>
      <c r="Z74" s="4"/>
      <c r="AA74" s="4"/>
      <c r="AB74" s="4"/>
      <c r="AC74" s="4"/>
      <c r="AD74" s="4"/>
    </row>
    <row r="75" spans="1:30" ht="12.75">
      <c r="A75" s="4"/>
      <c r="B75" s="12"/>
      <c r="C75" s="4"/>
      <c r="D75" s="4"/>
      <c r="E75" s="308" t="s">
        <v>123</v>
      </c>
      <c r="F75" s="300"/>
      <c r="G75" s="300"/>
      <c r="H75" s="302">
        <f>L17</f>
        <v>85154.15197399998</v>
      </c>
      <c r="I75" s="111"/>
      <c r="J75" s="302">
        <f>L32</f>
        <v>105925.65948499987</v>
      </c>
      <c r="K75" s="111"/>
      <c r="L75" s="143"/>
      <c r="M75" s="186"/>
      <c r="N75" s="94"/>
      <c r="O75" s="94"/>
      <c r="P75" s="4"/>
      <c r="Q75" s="12"/>
      <c r="R75" s="4"/>
      <c r="S75" s="4"/>
      <c r="T75" s="4"/>
      <c r="U75" s="4"/>
      <c r="V75" s="4"/>
      <c r="W75" s="4"/>
      <c r="X75" s="4"/>
      <c r="Y75" s="4"/>
      <c r="Z75" s="4"/>
      <c r="AA75" s="4"/>
      <c r="AB75" s="4"/>
      <c r="AC75" s="4"/>
      <c r="AD75" s="4"/>
    </row>
    <row r="76" spans="1:30" ht="12.75">
      <c r="A76" s="4"/>
      <c r="B76" s="12"/>
      <c r="C76" s="4"/>
      <c r="D76" s="4"/>
      <c r="E76" s="305" t="s">
        <v>142</v>
      </c>
      <c r="F76" s="233"/>
      <c r="G76" s="233"/>
      <c r="H76" s="242">
        <f>SUM(H43:H45)</f>
        <v>536899.67407598</v>
      </c>
      <c r="I76" s="111"/>
      <c r="J76" s="242">
        <f>N32+H60+H61</f>
        <v>564909.4424592499</v>
      </c>
      <c r="K76" s="111"/>
      <c r="L76" s="143"/>
      <c r="M76" s="186"/>
      <c r="N76" s="94"/>
      <c r="O76" s="94"/>
      <c r="P76" s="4"/>
      <c r="Q76" s="12"/>
      <c r="R76" s="4"/>
      <c r="S76" s="4"/>
      <c r="T76" s="4"/>
      <c r="U76" s="4"/>
      <c r="V76" s="4"/>
      <c r="W76" s="4"/>
      <c r="X76" s="4"/>
      <c r="Y76" s="4"/>
      <c r="Z76" s="4"/>
      <c r="AA76" s="4"/>
      <c r="AB76" s="4"/>
      <c r="AC76" s="4"/>
      <c r="AD76" s="4"/>
    </row>
    <row r="77" spans="1:30" ht="12.75">
      <c r="A77" s="4"/>
      <c r="B77" s="12"/>
      <c r="C77" s="4"/>
      <c r="D77" s="4"/>
      <c r="E77" s="305"/>
      <c r="F77" s="233"/>
      <c r="G77" s="233"/>
      <c r="H77" s="309"/>
      <c r="I77" s="111"/>
      <c r="J77" s="309"/>
      <c r="K77" s="111"/>
      <c r="L77" s="143"/>
      <c r="M77" s="94"/>
      <c r="N77" s="94"/>
      <c r="O77" s="94"/>
      <c r="P77" s="4"/>
      <c r="Q77" s="12"/>
      <c r="R77" s="4"/>
      <c r="S77" s="4"/>
      <c r="T77" s="4"/>
      <c r="U77" s="4"/>
      <c r="V77" s="4"/>
      <c r="W77" s="4"/>
      <c r="X77" s="4"/>
      <c r="Y77" s="4"/>
      <c r="Z77" s="4"/>
      <c r="AA77" s="4"/>
      <c r="AB77" s="4"/>
      <c r="AC77" s="4"/>
      <c r="AD77" s="4"/>
    </row>
    <row r="78" spans="1:30" ht="13.5" thickBot="1">
      <c r="A78" s="4"/>
      <c r="B78" s="12"/>
      <c r="C78" s="4"/>
      <c r="D78" s="4"/>
      <c r="E78" s="305" t="s">
        <v>130</v>
      </c>
      <c r="F78" s="233"/>
      <c r="G78" s="233"/>
      <c r="H78" s="310">
        <f>IRR(H71:H76)</f>
        <v>0.08159256302077182</v>
      </c>
      <c r="I78" s="197"/>
      <c r="J78" s="310">
        <f>IRR(J71:J76)</f>
        <v>0.10387819101224731</v>
      </c>
      <c r="K78" s="111"/>
      <c r="L78" s="143"/>
      <c r="M78" s="94"/>
      <c r="N78" s="94"/>
      <c r="O78" s="94"/>
      <c r="P78" s="4"/>
      <c r="Q78" s="12"/>
      <c r="R78" s="4"/>
      <c r="S78" s="4"/>
      <c r="T78" s="4"/>
      <c r="U78" s="4"/>
      <c r="V78" s="4"/>
      <c r="W78" s="4"/>
      <c r="X78" s="4"/>
      <c r="Y78" s="4"/>
      <c r="Z78" s="4"/>
      <c r="AA78" s="4"/>
      <c r="AB78" s="4"/>
      <c r="AC78" s="4"/>
      <c r="AD78" s="4"/>
    </row>
    <row r="79" spans="1:30" ht="15.75" thickTop="1">
      <c r="A79" s="4"/>
      <c r="B79" s="12"/>
      <c r="C79" s="4"/>
      <c r="D79" s="4"/>
      <c r="E79" s="6"/>
      <c r="F79" s="6"/>
      <c r="G79" s="6"/>
      <c r="H79" s="37"/>
      <c r="I79" s="36"/>
      <c r="J79" s="4"/>
      <c r="K79" s="4"/>
      <c r="L79" s="4"/>
      <c r="M79" s="4"/>
      <c r="N79" s="13"/>
      <c r="O79" s="13"/>
      <c r="P79" s="4"/>
      <c r="Q79" s="12"/>
      <c r="R79" s="4"/>
      <c r="S79" s="4"/>
      <c r="T79" s="4"/>
      <c r="U79" s="4"/>
      <c r="V79" s="4"/>
      <c r="W79" s="4"/>
      <c r="X79" s="4"/>
      <c r="Y79" s="4"/>
      <c r="Z79" s="4"/>
      <c r="AA79" s="4"/>
      <c r="AB79" s="4"/>
      <c r="AC79" s="4"/>
      <c r="AD79" s="4"/>
    </row>
    <row r="80" spans="1:30" ht="12.75">
      <c r="A80" s="4"/>
      <c r="B80" s="12"/>
      <c r="C80" s="4"/>
      <c r="D80" s="4"/>
      <c r="E80" s="4"/>
      <c r="F80" s="4"/>
      <c r="G80" s="4"/>
      <c r="H80" s="4"/>
      <c r="I80" s="4"/>
      <c r="J80" s="4"/>
      <c r="K80" s="4"/>
      <c r="L80" s="4"/>
      <c r="M80" s="4"/>
      <c r="N80" s="4"/>
      <c r="O80" s="4"/>
      <c r="P80" s="4"/>
      <c r="Q80" s="12"/>
      <c r="R80" s="4"/>
      <c r="S80" s="4"/>
      <c r="T80" s="4"/>
      <c r="U80" s="4"/>
      <c r="V80" s="4"/>
      <c r="W80" s="4"/>
      <c r="X80" s="4"/>
      <c r="Y80" s="4"/>
      <c r="Z80" s="4"/>
      <c r="AA80" s="4"/>
      <c r="AB80" s="4"/>
      <c r="AC80" s="4"/>
      <c r="AD80" s="4"/>
    </row>
    <row r="81" spans="1:30" ht="12.75">
      <c r="A81" s="4"/>
      <c r="B81" s="12"/>
      <c r="C81" s="12"/>
      <c r="D81" s="12"/>
      <c r="E81" s="12"/>
      <c r="F81" s="12"/>
      <c r="G81" s="12"/>
      <c r="H81" s="12"/>
      <c r="I81" s="12"/>
      <c r="J81" s="12"/>
      <c r="K81" s="12"/>
      <c r="L81" s="12"/>
      <c r="M81" s="12"/>
      <c r="N81" s="12"/>
      <c r="O81" s="12"/>
      <c r="P81" s="12"/>
      <c r="Q81" s="12"/>
      <c r="R81" s="4"/>
      <c r="S81" s="4"/>
      <c r="T81" s="4"/>
      <c r="U81" s="4"/>
      <c r="V81" s="4"/>
      <c r="W81" s="4"/>
      <c r="X81" s="4"/>
      <c r="Y81" s="4"/>
      <c r="Z81" s="4"/>
      <c r="AA81" s="4"/>
      <c r="AB81" s="4"/>
      <c r="AC81" s="4"/>
      <c r="AD81" s="4"/>
    </row>
    <row r="82" spans="1:30"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sheetData>
  <sheetProtection password="CE3F" sheet="1" selectLockedCells="1" selectUnlockedCells="1"/>
  <mergeCells count="3">
    <mergeCell ref="E1:O1"/>
    <mergeCell ref="E6:O6"/>
    <mergeCell ref="E21:O21"/>
  </mergeCells>
  <printOptions/>
  <pageMargins left="0.7" right="0.7" top="0.75" bottom="0.75" header="0.3" footer="0.3"/>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AA61"/>
  <sheetViews>
    <sheetView zoomScalePageLayoutView="0" workbookViewId="0" topLeftCell="A1">
      <selection activeCell="C1" sqref="C1"/>
    </sheetView>
  </sheetViews>
  <sheetFormatPr defaultColWidth="9.140625" defaultRowHeight="12.75"/>
  <cols>
    <col min="1" max="1" width="3.00390625" style="0" customWidth="1"/>
    <col min="2" max="2" width="3.28125" style="0" customWidth="1"/>
    <col min="3" max="3" width="3.421875" style="0" customWidth="1"/>
    <col min="4" max="4" width="10.00390625" style="0" customWidth="1"/>
    <col min="5" max="5" width="2.140625" style="0" customWidth="1"/>
    <col min="6" max="6" width="11.421875" style="0" customWidth="1"/>
    <col min="7" max="7" width="2.140625" style="0" customWidth="1"/>
    <col min="8" max="8" width="11.140625" style="0" customWidth="1"/>
    <col min="9" max="9" width="2.140625" style="0" customWidth="1"/>
    <col min="10" max="10" width="10.8515625" style="0" customWidth="1"/>
    <col min="11" max="11" width="2.421875" style="0" customWidth="1"/>
    <col min="12" max="12" width="10.7109375" style="0" customWidth="1"/>
    <col min="13" max="13" width="2.57421875" style="0" customWidth="1"/>
    <col min="14" max="14" width="11.57421875" style="0" customWidth="1"/>
    <col min="15" max="15" width="2.57421875" style="0" customWidth="1"/>
    <col min="16" max="16" width="11.8515625" style="0" customWidth="1"/>
    <col min="17" max="17" width="2.7109375" style="0" customWidth="1"/>
    <col min="18" max="18" width="12.00390625" style="0" customWidth="1"/>
    <col min="19" max="19" width="2.421875" style="0" customWidth="1"/>
    <col min="20" max="20" width="3.140625" style="0" customWidth="1"/>
    <col min="21" max="21" width="2.421875" style="0" customWidth="1"/>
    <col min="22" max="22" width="12.28125" style="0" bestFit="1" customWidth="1"/>
  </cols>
  <sheetData>
    <row r="1" spans="1:27" ht="12.75">
      <c r="A1" s="4"/>
      <c r="B1" s="4"/>
      <c r="C1" s="4"/>
      <c r="D1" s="4"/>
      <c r="E1" s="4"/>
      <c r="F1" s="4"/>
      <c r="G1" s="4"/>
      <c r="H1" s="4"/>
      <c r="I1" s="4"/>
      <c r="J1" s="4"/>
      <c r="K1" s="4"/>
      <c r="L1" s="4"/>
      <c r="M1" s="4"/>
      <c r="N1" s="4"/>
      <c r="O1" s="4"/>
      <c r="P1" s="4"/>
      <c r="Q1" s="4"/>
      <c r="R1" s="4"/>
      <c r="S1" s="4"/>
      <c r="T1" s="4"/>
      <c r="U1" s="4"/>
      <c r="V1" s="4"/>
      <c r="W1" s="4"/>
      <c r="X1" s="4"/>
      <c r="Y1" s="4"/>
      <c r="Z1" s="4"/>
      <c r="AA1" s="4"/>
    </row>
    <row r="2" spans="1:27" ht="12.75">
      <c r="A2" s="4"/>
      <c r="B2" s="4"/>
      <c r="C2" s="4"/>
      <c r="D2" s="4"/>
      <c r="E2" s="4"/>
      <c r="F2" s="4"/>
      <c r="G2" s="4"/>
      <c r="H2" s="4"/>
      <c r="I2" s="4"/>
      <c r="J2" s="4"/>
      <c r="K2" s="4"/>
      <c r="L2" s="4"/>
      <c r="M2" s="4"/>
      <c r="N2" s="4"/>
      <c r="O2" s="4"/>
      <c r="P2" s="4"/>
      <c r="Q2" s="4"/>
      <c r="R2" s="4"/>
      <c r="S2" s="4"/>
      <c r="T2" s="4"/>
      <c r="U2" s="4"/>
      <c r="V2" s="4"/>
      <c r="W2" s="4"/>
      <c r="X2" s="4"/>
      <c r="Y2" s="4"/>
      <c r="Z2" s="4"/>
      <c r="AA2" s="4"/>
    </row>
    <row r="3" spans="1:27" ht="12.75">
      <c r="A3" s="4"/>
      <c r="B3" s="12"/>
      <c r="C3" s="12"/>
      <c r="D3" s="12"/>
      <c r="E3" s="12"/>
      <c r="F3" s="12"/>
      <c r="G3" s="12"/>
      <c r="H3" s="12"/>
      <c r="I3" s="12"/>
      <c r="J3" s="12"/>
      <c r="K3" s="12"/>
      <c r="L3" s="12"/>
      <c r="M3" s="12"/>
      <c r="N3" s="12"/>
      <c r="O3" s="12"/>
      <c r="P3" s="12"/>
      <c r="Q3" s="12"/>
      <c r="R3" s="12"/>
      <c r="S3" s="12"/>
      <c r="T3" s="12"/>
      <c r="U3" s="4"/>
      <c r="V3" s="4"/>
      <c r="W3" s="4"/>
      <c r="X3" s="4"/>
      <c r="Y3" s="4"/>
      <c r="Z3" s="4"/>
      <c r="AA3" s="4"/>
    </row>
    <row r="4" spans="1:27" ht="12.75">
      <c r="A4" s="4"/>
      <c r="B4" s="12"/>
      <c r="C4" s="4"/>
      <c r="D4" s="504" t="s">
        <v>143</v>
      </c>
      <c r="E4" s="504"/>
      <c r="F4" s="504"/>
      <c r="G4" s="504"/>
      <c r="H4" s="504"/>
      <c r="I4" s="504"/>
      <c r="J4" s="504"/>
      <c r="K4" s="504"/>
      <c r="L4" s="504"/>
      <c r="M4" s="504"/>
      <c r="N4" s="504"/>
      <c r="O4" s="504"/>
      <c r="P4" s="504"/>
      <c r="Q4" s="116"/>
      <c r="R4" s="4"/>
      <c r="S4" s="4"/>
      <c r="T4" s="12"/>
      <c r="U4" s="4"/>
      <c r="V4" s="4"/>
      <c r="W4" s="4"/>
      <c r="X4" s="4"/>
      <c r="Y4" s="4"/>
      <c r="Z4" s="4"/>
      <c r="AA4" s="4"/>
    </row>
    <row r="5" spans="1:27" ht="12.75">
      <c r="A5" s="4"/>
      <c r="B5" s="12"/>
      <c r="C5" s="4"/>
      <c r="D5" s="514" t="s">
        <v>472</v>
      </c>
      <c r="E5" s="519"/>
      <c r="F5" s="519"/>
      <c r="G5" s="519"/>
      <c r="H5" s="519"/>
      <c r="I5" s="519"/>
      <c r="J5" s="519"/>
      <c r="K5" s="519"/>
      <c r="L5" s="519"/>
      <c r="M5" s="519"/>
      <c r="N5" s="519"/>
      <c r="O5" s="519"/>
      <c r="P5" s="519"/>
      <c r="Q5" s="519"/>
      <c r="R5" s="519"/>
      <c r="S5" s="4"/>
      <c r="T5" s="12"/>
      <c r="U5" s="4"/>
      <c r="V5" s="4"/>
      <c r="W5" s="4"/>
      <c r="X5" s="4"/>
      <c r="Y5" s="4"/>
      <c r="Z5" s="4"/>
      <c r="AA5" s="4"/>
    </row>
    <row r="6" spans="1:27" ht="12.75">
      <c r="A6" s="4"/>
      <c r="B6" s="12"/>
      <c r="C6" s="4"/>
      <c r="D6" s="373"/>
      <c r="E6" s="271"/>
      <c r="F6" s="271"/>
      <c r="G6" s="271"/>
      <c r="H6" s="271"/>
      <c r="I6" s="271"/>
      <c r="J6" s="271"/>
      <c r="K6" s="271"/>
      <c r="L6" s="271"/>
      <c r="M6" s="271"/>
      <c r="N6" s="271"/>
      <c r="O6" s="271"/>
      <c r="P6" s="271"/>
      <c r="Q6" s="271"/>
      <c r="R6" s="271"/>
      <c r="S6" s="4"/>
      <c r="T6" s="12"/>
      <c r="U6" s="4"/>
      <c r="V6" s="4"/>
      <c r="W6" s="4"/>
      <c r="X6" s="4"/>
      <c r="Y6" s="4"/>
      <c r="Z6" s="4"/>
      <c r="AA6" s="4"/>
    </row>
    <row r="7" spans="1:27" ht="12.75">
      <c r="A7" s="4"/>
      <c r="B7" s="12"/>
      <c r="C7" s="4"/>
      <c r="D7" s="372"/>
      <c r="E7" s="270"/>
      <c r="F7" s="270"/>
      <c r="G7" s="270"/>
      <c r="H7" s="270"/>
      <c r="I7" s="270"/>
      <c r="J7" s="270"/>
      <c r="K7" s="270"/>
      <c r="L7" s="270"/>
      <c r="M7" s="270"/>
      <c r="N7" s="270"/>
      <c r="O7" s="270"/>
      <c r="P7" s="270"/>
      <c r="Q7" s="270"/>
      <c r="R7" s="270"/>
      <c r="S7" s="4"/>
      <c r="T7" s="12"/>
      <c r="U7" s="4"/>
      <c r="V7" s="4"/>
      <c r="W7" s="4"/>
      <c r="X7" s="4"/>
      <c r="Y7" s="4"/>
      <c r="Z7" s="4"/>
      <c r="AA7" s="4"/>
    </row>
    <row r="8" spans="1:27" ht="12.75">
      <c r="A8" s="4"/>
      <c r="B8" s="12"/>
      <c r="C8" s="4"/>
      <c r="D8" s="4"/>
      <c r="E8" s="4"/>
      <c r="F8" s="491" t="s">
        <v>278</v>
      </c>
      <c r="G8" s="491"/>
      <c r="H8" s="491"/>
      <c r="I8" s="491"/>
      <c r="J8" s="491"/>
      <c r="K8" s="491"/>
      <c r="L8" s="491"/>
      <c r="M8" s="491"/>
      <c r="N8" s="4"/>
      <c r="O8" s="4"/>
      <c r="P8" s="286"/>
      <c r="Q8" s="4"/>
      <c r="R8" s="4"/>
      <c r="S8" s="4"/>
      <c r="T8" s="12"/>
      <c r="U8" s="4"/>
      <c r="V8" s="4"/>
      <c r="W8" s="4"/>
      <c r="X8" s="4"/>
      <c r="Y8" s="4"/>
      <c r="Z8" s="4"/>
      <c r="AA8" s="4"/>
    </row>
    <row r="9" spans="1:27" ht="12.75">
      <c r="A9" s="4"/>
      <c r="B9" s="12"/>
      <c r="C9" s="4"/>
      <c r="D9" s="4"/>
      <c r="E9" s="4"/>
      <c r="F9" s="4"/>
      <c r="G9" s="4"/>
      <c r="H9" s="4"/>
      <c r="I9" s="4"/>
      <c r="J9" s="489" t="s">
        <v>273</v>
      </c>
      <c r="K9" s="489"/>
      <c r="L9" s="489"/>
      <c r="M9" s="4"/>
      <c r="N9" s="4"/>
      <c r="O9" s="4"/>
      <c r="P9" s="4"/>
      <c r="Q9" s="4"/>
      <c r="R9" s="4"/>
      <c r="S9" s="4"/>
      <c r="T9" s="12"/>
      <c r="U9" s="4"/>
      <c r="V9" s="4"/>
      <c r="W9" s="4"/>
      <c r="X9" s="4"/>
      <c r="Y9" s="4"/>
      <c r="Z9" s="4"/>
      <c r="AA9" s="4"/>
    </row>
    <row r="10" spans="1:27" ht="12.75">
      <c r="A10" s="4"/>
      <c r="B10" s="12"/>
      <c r="C10" s="4"/>
      <c r="D10" s="109"/>
      <c r="E10" s="109"/>
      <c r="F10" s="109" t="s">
        <v>272</v>
      </c>
      <c r="G10" s="109"/>
      <c r="H10" s="109" t="s">
        <v>274</v>
      </c>
      <c r="I10" s="109"/>
      <c r="J10" s="109"/>
      <c r="K10" s="109"/>
      <c r="L10" s="109"/>
      <c r="M10" s="109"/>
      <c r="N10" s="109" t="s">
        <v>277</v>
      </c>
      <c r="O10" s="4"/>
      <c r="P10" s="133"/>
      <c r="Q10" s="4"/>
      <c r="R10" s="286"/>
      <c r="S10" s="4"/>
      <c r="T10" s="12"/>
      <c r="U10" s="4"/>
      <c r="V10" s="4"/>
      <c r="W10" s="4"/>
      <c r="X10" s="4"/>
      <c r="Y10" s="4"/>
      <c r="Z10" s="4"/>
      <c r="AA10" s="4"/>
    </row>
    <row r="11" spans="1:27" ht="12.75">
      <c r="A11" s="4"/>
      <c r="B11" s="12"/>
      <c r="C11" s="4"/>
      <c r="D11" s="110" t="s">
        <v>271</v>
      </c>
      <c r="E11" s="110"/>
      <c r="F11" s="110" t="s">
        <v>273</v>
      </c>
      <c r="G11" s="110"/>
      <c r="H11" s="110" t="s">
        <v>275</v>
      </c>
      <c r="I11" s="110"/>
      <c r="J11" s="110" t="s">
        <v>276</v>
      </c>
      <c r="K11" s="110"/>
      <c r="L11" s="110" t="s">
        <v>275</v>
      </c>
      <c r="M11" s="110"/>
      <c r="N11" s="110" t="s">
        <v>275</v>
      </c>
      <c r="O11" s="4"/>
      <c r="P11" s="4"/>
      <c r="Q11" s="4"/>
      <c r="R11" s="4"/>
      <c r="S11" s="4"/>
      <c r="T11" s="12"/>
      <c r="U11" s="4"/>
      <c r="V11" s="4"/>
      <c r="W11" s="4"/>
      <c r="X11" s="4"/>
      <c r="Y11" s="4"/>
      <c r="Z11" s="4"/>
      <c r="AA11" s="4"/>
    </row>
    <row r="12" spans="1:27" ht="12.75">
      <c r="A12" s="4"/>
      <c r="B12" s="12"/>
      <c r="C12" s="4"/>
      <c r="D12" s="319">
        <v>9</v>
      </c>
      <c r="E12" s="79"/>
      <c r="F12" s="79">
        <v>83089</v>
      </c>
      <c r="G12" s="79"/>
      <c r="H12" s="320">
        <v>350000</v>
      </c>
      <c r="I12" s="320"/>
      <c r="J12" s="320">
        <f>H12*0.06</f>
        <v>21000</v>
      </c>
      <c r="K12" s="320"/>
      <c r="L12" s="320">
        <f>F12-J12</f>
        <v>62089</v>
      </c>
      <c r="M12" s="320"/>
      <c r="N12" s="320">
        <f>H12-L12</f>
        <v>287911</v>
      </c>
      <c r="O12" s="4"/>
      <c r="P12" s="4"/>
      <c r="Q12" s="4"/>
      <c r="R12" s="4"/>
      <c r="S12" s="4"/>
      <c r="T12" s="12"/>
      <c r="U12" s="4"/>
      <c r="V12" s="286"/>
      <c r="W12" s="4"/>
      <c r="X12" s="4"/>
      <c r="Y12" s="4"/>
      <c r="Z12" s="4"/>
      <c r="AA12" s="4"/>
    </row>
    <row r="13" spans="1:27" ht="12.75">
      <c r="A13" s="4"/>
      <c r="B13" s="12"/>
      <c r="C13" s="4"/>
      <c r="D13" s="319">
        <v>10</v>
      </c>
      <c r="E13" s="79"/>
      <c r="F13" s="79">
        <v>83089</v>
      </c>
      <c r="G13" s="79"/>
      <c r="H13" s="320">
        <f>N12</f>
        <v>287911</v>
      </c>
      <c r="I13" s="320"/>
      <c r="J13" s="320">
        <f>H13*0.06</f>
        <v>17274.66</v>
      </c>
      <c r="K13" s="320"/>
      <c r="L13" s="320">
        <f>F13-J13</f>
        <v>65814.34</v>
      </c>
      <c r="M13" s="320"/>
      <c r="N13" s="320">
        <f>H13-L13</f>
        <v>222096.66</v>
      </c>
      <c r="O13" s="4"/>
      <c r="P13" s="4"/>
      <c r="Q13" s="4"/>
      <c r="R13" s="286"/>
      <c r="S13" s="4"/>
      <c r="T13" s="12"/>
      <c r="U13" s="4"/>
      <c r="V13" s="4"/>
      <c r="W13" s="4"/>
      <c r="X13" s="4"/>
      <c r="Y13" s="4"/>
      <c r="Z13" s="4"/>
      <c r="AA13" s="4"/>
    </row>
    <row r="14" spans="1:27" ht="12.75">
      <c r="A14" s="4"/>
      <c r="B14" s="12"/>
      <c r="C14" s="4"/>
      <c r="D14" s="319">
        <v>11</v>
      </c>
      <c r="E14" s="79"/>
      <c r="F14" s="79">
        <v>83089</v>
      </c>
      <c r="G14" s="79"/>
      <c r="H14" s="320">
        <f>N13</f>
        <v>222096.66</v>
      </c>
      <c r="I14" s="320"/>
      <c r="J14" s="320">
        <f>H14*0.06</f>
        <v>13325.7996</v>
      </c>
      <c r="K14" s="320"/>
      <c r="L14" s="320">
        <f>F14-J14</f>
        <v>69763.2004</v>
      </c>
      <c r="M14" s="320"/>
      <c r="N14" s="320">
        <f>H14-L14</f>
        <v>152333.4596</v>
      </c>
      <c r="O14" s="4"/>
      <c r="P14" s="4"/>
      <c r="Q14" s="4"/>
      <c r="R14" s="4"/>
      <c r="S14" s="4"/>
      <c r="T14" s="12"/>
      <c r="U14" s="4"/>
      <c r="V14" s="4"/>
      <c r="W14" s="4"/>
      <c r="X14" s="4"/>
      <c r="Y14" s="4"/>
      <c r="Z14" s="4"/>
      <c r="AA14" s="4"/>
    </row>
    <row r="15" spans="1:27" ht="12.75">
      <c r="A15" s="4"/>
      <c r="B15" s="12"/>
      <c r="C15" s="4"/>
      <c r="D15" s="319">
        <v>12</v>
      </c>
      <c r="E15" s="79"/>
      <c r="F15" s="79">
        <v>83089</v>
      </c>
      <c r="G15" s="79"/>
      <c r="H15" s="320">
        <f>N14</f>
        <v>152333.4596</v>
      </c>
      <c r="I15" s="320"/>
      <c r="J15" s="320">
        <f>H15*0.06</f>
        <v>9140.007576</v>
      </c>
      <c r="K15" s="320"/>
      <c r="L15" s="320">
        <f>F15-J15</f>
        <v>73948.992424</v>
      </c>
      <c r="M15" s="320"/>
      <c r="N15" s="320">
        <f>H15-L15</f>
        <v>78384.467176</v>
      </c>
      <c r="O15" s="4"/>
      <c r="P15" s="4"/>
      <c r="Q15" s="4"/>
      <c r="R15" s="4"/>
      <c r="S15" s="4"/>
      <c r="T15" s="12"/>
      <c r="U15" s="4"/>
      <c r="V15" s="4"/>
      <c r="W15" s="4"/>
      <c r="X15" s="4"/>
      <c r="Y15" s="4"/>
      <c r="Z15" s="4"/>
      <c r="AA15" s="4"/>
    </row>
    <row r="16" spans="1:27" ht="12.75">
      <c r="A16" s="4"/>
      <c r="B16" s="12"/>
      <c r="C16" s="4"/>
      <c r="D16" s="319">
        <v>13</v>
      </c>
      <c r="E16" s="79"/>
      <c r="F16" s="79">
        <v>83089</v>
      </c>
      <c r="G16" s="79"/>
      <c r="H16" s="320">
        <f>N15</f>
        <v>78384.467176</v>
      </c>
      <c r="I16" s="320"/>
      <c r="J16" s="320">
        <f>H16*0.06</f>
        <v>4703.06803056</v>
      </c>
      <c r="K16" s="320"/>
      <c r="L16" s="320">
        <f>F16-J16</f>
        <v>78385.93196944</v>
      </c>
      <c r="M16" s="320"/>
      <c r="N16" s="320">
        <f>H16-L16</f>
        <v>-1.464793439998175</v>
      </c>
      <c r="O16" s="4"/>
      <c r="P16" s="4"/>
      <c r="Q16" s="4"/>
      <c r="R16" s="4"/>
      <c r="S16" s="4"/>
      <c r="T16" s="12"/>
      <c r="U16" s="4"/>
      <c r="V16" s="4"/>
      <c r="W16" s="4"/>
      <c r="X16" s="4"/>
      <c r="Y16" s="4"/>
      <c r="Z16" s="4"/>
      <c r="AA16" s="4"/>
    </row>
    <row r="17" spans="1:27" ht="12.75">
      <c r="A17" s="4"/>
      <c r="B17" s="12"/>
      <c r="C17" s="4"/>
      <c r="D17" s="4"/>
      <c r="E17" s="4"/>
      <c r="F17" s="4"/>
      <c r="G17" s="4"/>
      <c r="H17" s="4"/>
      <c r="I17" s="4"/>
      <c r="J17" s="4"/>
      <c r="K17" s="4"/>
      <c r="L17" s="4"/>
      <c r="M17" s="4"/>
      <c r="N17" s="4"/>
      <c r="O17" s="4"/>
      <c r="P17" s="4"/>
      <c r="Q17" s="4"/>
      <c r="R17" s="4"/>
      <c r="S17" s="4"/>
      <c r="T17" s="12"/>
      <c r="U17" s="4"/>
      <c r="V17" s="4"/>
      <c r="W17" s="4"/>
      <c r="X17" s="4"/>
      <c r="Y17" s="4"/>
      <c r="Z17" s="4"/>
      <c r="AA17" s="4"/>
    </row>
    <row r="18" spans="1:27" ht="12.75">
      <c r="A18" s="4"/>
      <c r="B18" s="12"/>
      <c r="C18" s="4"/>
      <c r="D18" s="4"/>
      <c r="E18" s="4"/>
      <c r="F18" s="4"/>
      <c r="G18" s="4"/>
      <c r="H18" s="4"/>
      <c r="I18" s="4"/>
      <c r="J18" s="4"/>
      <c r="K18" s="4"/>
      <c r="L18" s="4"/>
      <c r="M18" s="4"/>
      <c r="N18" s="4"/>
      <c r="O18" s="4"/>
      <c r="P18" s="4"/>
      <c r="Q18" s="4"/>
      <c r="R18" s="4"/>
      <c r="S18" s="4"/>
      <c r="T18" s="12"/>
      <c r="U18" s="4"/>
      <c r="V18" s="4"/>
      <c r="W18" s="4"/>
      <c r="X18" s="4"/>
      <c r="Y18" s="4"/>
      <c r="Z18" s="4"/>
      <c r="AA18" s="4"/>
    </row>
    <row r="19" spans="1:27" ht="12.75">
      <c r="A19" s="4"/>
      <c r="B19" s="12"/>
      <c r="C19" s="4"/>
      <c r="D19" s="4"/>
      <c r="E19" s="4"/>
      <c r="F19" s="4"/>
      <c r="G19" s="4"/>
      <c r="H19" s="491" t="s">
        <v>285</v>
      </c>
      <c r="I19" s="491"/>
      <c r="J19" s="491"/>
      <c r="K19" s="491"/>
      <c r="L19" s="491"/>
      <c r="M19" s="491"/>
      <c r="N19" s="491"/>
      <c r="O19" s="491"/>
      <c r="P19" s="491"/>
      <c r="Q19" s="4"/>
      <c r="R19" s="4"/>
      <c r="S19" s="4"/>
      <c r="T19" s="12"/>
      <c r="U19" s="4"/>
      <c r="V19" s="4"/>
      <c r="W19" s="4"/>
      <c r="X19" s="4"/>
      <c r="Y19" s="4"/>
      <c r="Z19" s="4"/>
      <c r="AA19" s="4"/>
    </row>
    <row r="20" spans="1:27" ht="12.75">
      <c r="A20" s="4"/>
      <c r="B20" s="12"/>
      <c r="C20" s="4"/>
      <c r="D20" s="94"/>
      <c r="E20" s="109"/>
      <c r="F20" s="109" t="s">
        <v>272</v>
      </c>
      <c r="G20" s="109"/>
      <c r="H20" s="109" t="s">
        <v>279</v>
      </c>
      <c r="I20" s="109"/>
      <c r="J20" s="109"/>
      <c r="K20" s="109"/>
      <c r="L20" s="109"/>
      <c r="M20" s="109"/>
      <c r="N20" s="109" t="s">
        <v>248</v>
      </c>
      <c r="O20" s="109"/>
      <c r="P20" s="109" t="s">
        <v>282</v>
      </c>
      <c r="Q20" s="109"/>
      <c r="R20" s="276" t="s">
        <v>284</v>
      </c>
      <c r="S20" s="4"/>
      <c r="T20" s="12"/>
      <c r="U20" s="4"/>
      <c r="V20" s="4"/>
      <c r="W20" s="4"/>
      <c r="X20" s="4"/>
      <c r="Y20" s="4"/>
      <c r="Z20" s="4"/>
      <c r="AA20" s="4"/>
    </row>
    <row r="21" spans="1:27" ht="12.75">
      <c r="A21" s="4"/>
      <c r="B21" s="12"/>
      <c r="C21" s="4"/>
      <c r="D21" s="110" t="s">
        <v>271</v>
      </c>
      <c r="E21" s="110"/>
      <c r="F21" s="110" t="s">
        <v>273</v>
      </c>
      <c r="G21" s="110"/>
      <c r="H21" s="110" t="s">
        <v>280</v>
      </c>
      <c r="I21" s="110"/>
      <c r="J21" s="110" t="s">
        <v>212</v>
      </c>
      <c r="K21" s="110"/>
      <c r="L21" s="110" t="s">
        <v>276</v>
      </c>
      <c r="M21" s="110"/>
      <c r="N21" s="110" t="s">
        <v>281</v>
      </c>
      <c r="O21" s="110"/>
      <c r="P21" s="110" t="s">
        <v>283</v>
      </c>
      <c r="Q21" s="110"/>
      <c r="R21" s="273" t="s">
        <v>116</v>
      </c>
      <c r="S21" s="4"/>
      <c r="T21" s="12"/>
      <c r="U21" s="4"/>
      <c r="V21" s="4"/>
      <c r="W21" s="4"/>
      <c r="X21" s="4"/>
      <c r="Y21" s="4"/>
      <c r="Z21" s="4"/>
      <c r="AA21" s="4"/>
    </row>
    <row r="22" spans="1:27" ht="12.75">
      <c r="A22" s="4"/>
      <c r="B22" s="12"/>
      <c r="C22" s="4"/>
      <c r="D22" s="319">
        <v>9</v>
      </c>
      <c r="E22" s="410"/>
      <c r="F22" s="79">
        <v>83089</v>
      </c>
      <c r="G22" s="320"/>
      <c r="H22" s="320">
        <v>18000</v>
      </c>
      <c r="I22" s="320"/>
      <c r="J22" s="320">
        <v>20000</v>
      </c>
      <c r="K22" s="320"/>
      <c r="L22" s="320">
        <f>J12</f>
        <v>21000</v>
      </c>
      <c r="M22" s="320"/>
      <c r="N22" s="320">
        <f>F22+H22+J22+L22</f>
        <v>142089</v>
      </c>
      <c r="O22" s="320"/>
      <c r="P22" s="320">
        <f>0.25*N22</f>
        <v>35522.25</v>
      </c>
      <c r="Q22" s="320"/>
      <c r="R22" s="320">
        <f>F22+H22-P22</f>
        <v>65566.75</v>
      </c>
      <c r="S22" s="4"/>
      <c r="T22" s="12"/>
      <c r="U22" s="4"/>
      <c r="V22" s="4"/>
      <c r="W22" s="4"/>
      <c r="X22" s="4"/>
      <c r="Y22" s="4"/>
      <c r="Z22" s="4"/>
      <c r="AA22" s="4"/>
    </row>
    <row r="23" spans="1:27" ht="12.75">
      <c r="A23" s="4"/>
      <c r="B23" s="12"/>
      <c r="C23" s="4"/>
      <c r="D23" s="319">
        <v>10</v>
      </c>
      <c r="E23" s="410"/>
      <c r="F23" s="79">
        <v>83089</v>
      </c>
      <c r="G23" s="320"/>
      <c r="H23" s="320">
        <v>18000</v>
      </c>
      <c r="I23" s="320"/>
      <c r="J23" s="320">
        <v>20000</v>
      </c>
      <c r="K23" s="320"/>
      <c r="L23" s="320">
        <f>J13</f>
        <v>17274.66</v>
      </c>
      <c r="M23" s="320"/>
      <c r="N23" s="320">
        <f>F23+H23+J23+L23</f>
        <v>138363.66</v>
      </c>
      <c r="O23" s="320"/>
      <c r="P23" s="320">
        <f>0.25*N23</f>
        <v>34590.915</v>
      </c>
      <c r="Q23" s="320"/>
      <c r="R23" s="320">
        <f>F23+H23-P23</f>
        <v>66498.08499999999</v>
      </c>
      <c r="S23" s="4"/>
      <c r="T23" s="12"/>
      <c r="U23" s="4"/>
      <c r="V23" s="4"/>
      <c r="W23" s="4"/>
      <c r="X23" s="4"/>
      <c r="Y23" s="4"/>
      <c r="Z23" s="4"/>
      <c r="AA23" s="4"/>
    </row>
    <row r="24" spans="1:27" ht="12.75">
      <c r="A24" s="4"/>
      <c r="B24" s="12"/>
      <c r="C24" s="4"/>
      <c r="D24" s="319">
        <v>11</v>
      </c>
      <c r="E24" s="410"/>
      <c r="F24" s="79">
        <v>83089</v>
      </c>
      <c r="G24" s="320"/>
      <c r="H24" s="320">
        <v>18000</v>
      </c>
      <c r="I24" s="320"/>
      <c r="J24" s="320">
        <v>20000</v>
      </c>
      <c r="K24" s="320"/>
      <c r="L24" s="320">
        <f>J14</f>
        <v>13325.7996</v>
      </c>
      <c r="M24" s="320"/>
      <c r="N24" s="320">
        <f>F24+H24+J24+L24</f>
        <v>134414.7996</v>
      </c>
      <c r="O24" s="320"/>
      <c r="P24" s="320">
        <f>0.25*N24</f>
        <v>33603.6999</v>
      </c>
      <c r="Q24" s="320"/>
      <c r="R24" s="320">
        <f>F24+H24-P24</f>
        <v>67485.3001</v>
      </c>
      <c r="S24" s="4"/>
      <c r="T24" s="12"/>
      <c r="U24" s="4"/>
      <c r="V24" s="4"/>
      <c r="W24" s="4"/>
      <c r="X24" s="4"/>
      <c r="Y24" s="4"/>
      <c r="Z24" s="4"/>
      <c r="AA24" s="4"/>
    </row>
    <row r="25" spans="1:27" ht="12.75">
      <c r="A25" s="4"/>
      <c r="B25" s="12"/>
      <c r="C25" s="4"/>
      <c r="D25" s="319">
        <v>12</v>
      </c>
      <c r="E25" s="410"/>
      <c r="F25" s="79">
        <v>83089</v>
      </c>
      <c r="G25" s="320"/>
      <c r="H25" s="320">
        <v>18000</v>
      </c>
      <c r="I25" s="320"/>
      <c r="J25" s="320">
        <v>20000</v>
      </c>
      <c r="K25" s="320"/>
      <c r="L25" s="320">
        <f>J15</f>
        <v>9140.007576</v>
      </c>
      <c r="M25" s="320"/>
      <c r="N25" s="320">
        <f>F25+H25+J25+L25</f>
        <v>130229.007576</v>
      </c>
      <c r="O25" s="320"/>
      <c r="P25" s="320">
        <f>0.25*N25</f>
        <v>32557.251894</v>
      </c>
      <c r="Q25" s="320"/>
      <c r="R25" s="320">
        <f>F25+H25-P25</f>
        <v>68531.748106</v>
      </c>
      <c r="S25" s="4"/>
      <c r="T25" s="12"/>
      <c r="U25" s="4"/>
      <c r="V25" s="4"/>
      <c r="W25" s="4"/>
      <c r="X25" s="4"/>
      <c r="Y25" s="4"/>
      <c r="Z25" s="4"/>
      <c r="AA25" s="4"/>
    </row>
    <row r="26" spans="1:27" ht="12.75">
      <c r="A26" s="4"/>
      <c r="B26" s="12"/>
      <c r="C26" s="4"/>
      <c r="D26" s="319">
        <v>13</v>
      </c>
      <c r="E26" s="410"/>
      <c r="F26" s="79">
        <v>83089</v>
      </c>
      <c r="G26" s="320"/>
      <c r="H26" s="320">
        <v>18000</v>
      </c>
      <c r="I26" s="320"/>
      <c r="J26" s="320">
        <v>20000</v>
      </c>
      <c r="K26" s="320"/>
      <c r="L26" s="320">
        <f>J16</f>
        <v>4703.06803056</v>
      </c>
      <c r="M26" s="320"/>
      <c r="N26" s="320">
        <f>F26+H26+J26+L26</f>
        <v>125792.06803056</v>
      </c>
      <c r="O26" s="320"/>
      <c r="P26" s="320">
        <f>0.25*N26</f>
        <v>31448.01700764</v>
      </c>
      <c r="Q26" s="320"/>
      <c r="R26" s="320">
        <f>F26+H26-P26</f>
        <v>69640.98299236</v>
      </c>
      <c r="S26" s="4"/>
      <c r="T26" s="12"/>
      <c r="U26" s="4"/>
      <c r="V26" s="4"/>
      <c r="W26" s="4"/>
      <c r="X26" s="4"/>
      <c r="Y26" s="4"/>
      <c r="Z26" s="4"/>
      <c r="AA26" s="4"/>
    </row>
    <row r="27" spans="1:27" ht="12.75">
      <c r="A27" s="4"/>
      <c r="B27" s="12"/>
      <c r="C27" s="4"/>
      <c r="D27" s="4"/>
      <c r="E27" s="4"/>
      <c r="F27" s="4"/>
      <c r="G27" s="4"/>
      <c r="H27" s="4"/>
      <c r="I27" s="4"/>
      <c r="J27" s="4"/>
      <c r="K27" s="4"/>
      <c r="L27" s="4"/>
      <c r="M27" s="4"/>
      <c r="N27" s="4"/>
      <c r="O27" s="4"/>
      <c r="P27" s="4"/>
      <c r="Q27" s="4"/>
      <c r="R27" s="4"/>
      <c r="S27" s="4"/>
      <c r="T27" s="12"/>
      <c r="U27" s="4"/>
      <c r="V27" s="4"/>
      <c r="W27" s="4"/>
      <c r="X27" s="4"/>
      <c r="Y27" s="4"/>
      <c r="Z27" s="4"/>
      <c r="AA27" s="4"/>
    </row>
    <row r="28" spans="1:27" ht="12.75">
      <c r="A28" s="4"/>
      <c r="B28" s="12"/>
      <c r="C28" s="4"/>
      <c r="D28" s="4"/>
      <c r="E28" s="4"/>
      <c r="F28" s="4"/>
      <c r="G28" s="4"/>
      <c r="H28" s="4"/>
      <c r="I28" s="4"/>
      <c r="J28" s="4"/>
      <c r="K28" s="4"/>
      <c r="L28" s="4"/>
      <c r="M28" s="4"/>
      <c r="N28" s="4"/>
      <c r="O28" s="4"/>
      <c r="P28" s="4"/>
      <c r="Q28" s="4"/>
      <c r="R28" s="4"/>
      <c r="S28" s="4"/>
      <c r="T28" s="12"/>
      <c r="U28" s="4"/>
      <c r="V28" s="4"/>
      <c r="W28" s="4"/>
      <c r="X28" s="4"/>
      <c r="Y28" s="4"/>
      <c r="Z28" s="4"/>
      <c r="AA28" s="4"/>
    </row>
    <row r="29" spans="1:27" ht="12.75">
      <c r="A29" s="4"/>
      <c r="B29" s="12"/>
      <c r="C29" s="4"/>
      <c r="D29" s="4"/>
      <c r="E29" s="4"/>
      <c r="F29" s="491" t="s">
        <v>286</v>
      </c>
      <c r="G29" s="491"/>
      <c r="H29" s="491"/>
      <c r="I29" s="491"/>
      <c r="J29" s="491"/>
      <c r="K29" s="491"/>
      <c r="L29" s="491"/>
      <c r="M29" s="491"/>
      <c r="N29" s="491"/>
      <c r="O29" s="491"/>
      <c r="P29" s="4"/>
      <c r="Q29" s="4"/>
      <c r="R29" s="4"/>
      <c r="S29" s="4"/>
      <c r="T29" s="12"/>
      <c r="U29" s="4"/>
      <c r="V29" s="4"/>
      <c r="W29" s="4"/>
      <c r="X29" s="4"/>
      <c r="Y29" s="4"/>
      <c r="Z29" s="4"/>
      <c r="AA29" s="4"/>
    </row>
    <row r="30" spans="1:27" ht="12.75">
      <c r="A30" s="4"/>
      <c r="B30" s="12"/>
      <c r="C30" s="4"/>
      <c r="D30" s="4"/>
      <c r="E30" s="4"/>
      <c r="F30" s="4"/>
      <c r="G30" s="4"/>
      <c r="H30" s="4"/>
      <c r="I30" s="4"/>
      <c r="J30" s="4"/>
      <c r="K30" s="4"/>
      <c r="L30" s="4"/>
      <c r="M30" s="4"/>
      <c r="N30" s="4"/>
      <c r="O30" s="4"/>
      <c r="P30" s="4"/>
      <c r="Q30" s="4"/>
      <c r="R30" s="4"/>
      <c r="S30" s="4"/>
      <c r="T30" s="12"/>
      <c r="U30" s="4"/>
      <c r="V30" s="4"/>
      <c r="W30" s="4"/>
      <c r="X30" s="4"/>
      <c r="Y30" s="4"/>
      <c r="Z30" s="4"/>
      <c r="AA30" s="4"/>
    </row>
    <row r="31" spans="1:27" ht="12.75">
      <c r="A31" s="4"/>
      <c r="B31" s="12"/>
      <c r="C31" s="4"/>
      <c r="D31" s="4"/>
      <c r="E31" s="4"/>
      <c r="F31" s="4"/>
      <c r="G31" s="4"/>
      <c r="H31" s="4"/>
      <c r="I31" s="4"/>
      <c r="J31" s="4"/>
      <c r="K31" s="4"/>
      <c r="L31" s="4"/>
      <c r="M31" s="4"/>
      <c r="N31" s="4"/>
      <c r="O31" s="4"/>
      <c r="P31" s="4"/>
      <c r="Q31" s="4"/>
      <c r="R31" s="4"/>
      <c r="S31" s="4"/>
      <c r="T31" s="12"/>
      <c r="U31" s="4"/>
      <c r="V31" s="4"/>
      <c r="W31" s="4"/>
      <c r="X31" s="4"/>
      <c r="Y31" s="4"/>
      <c r="Z31" s="4"/>
      <c r="AA31" s="4"/>
    </row>
    <row r="32" spans="1:27" ht="12.75">
      <c r="A32" s="4"/>
      <c r="B32" s="12"/>
      <c r="C32" s="4"/>
      <c r="D32" s="4"/>
      <c r="E32" s="4"/>
      <c r="F32" s="501" t="s">
        <v>290</v>
      </c>
      <c r="G32" s="501"/>
      <c r="H32" s="501"/>
      <c r="I32" s="501"/>
      <c r="J32" s="501"/>
      <c r="K32" s="4"/>
      <c r="L32" s="501" t="s">
        <v>291</v>
      </c>
      <c r="M32" s="501"/>
      <c r="N32" s="501"/>
      <c r="O32" s="501"/>
      <c r="P32" s="501"/>
      <c r="Q32" s="4"/>
      <c r="R32" s="4"/>
      <c r="S32" s="4"/>
      <c r="T32" s="12"/>
      <c r="U32" s="4"/>
      <c r="V32" s="4"/>
      <c r="W32" s="4"/>
      <c r="X32" s="4"/>
      <c r="Y32" s="4"/>
      <c r="Z32" s="4"/>
      <c r="AA32" s="4"/>
    </row>
    <row r="33" spans="1:27" ht="12.75">
      <c r="A33" s="4"/>
      <c r="B33" s="12"/>
      <c r="C33" s="4"/>
      <c r="D33" s="4"/>
      <c r="E33" s="4"/>
      <c r="F33" s="109" t="s">
        <v>284</v>
      </c>
      <c r="G33" s="4"/>
      <c r="H33" s="94" t="s">
        <v>199</v>
      </c>
      <c r="I33" s="4"/>
      <c r="J33" s="94" t="s">
        <v>288</v>
      </c>
      <c r="K33" s="4"/>
      <c r="L33" s="109" t="s">
        <v>284</v>
      </c>
      <c r="M33" s="4"/>
      <c r="N33" s="94" t="s">
        <v>199</v>
      </c>
      <c r="O33" s="4"/>
      <c r="P33" s="94" t="s">
        <v>288</v>
      </c>
      <c r="Q33" s="4"/>
      <c r="R33" s="4"/>
      <c r="S33" s="4"/>
      <c r="T33" s="12"/>
      <c r="U33" s="4"/>
      <c r="V33" s="4"/>
      <c r="W33" s="4"/>
      <c r="X33" s="4"/>
      <c r="Y33" s="4"/>
      <c r="Z33" s="4"/>
      <c r="AA33" s="4"/>
    </row>
    <row r="34" spans="1:27" ht="12.75">
      <c r="A34" s="4"/>
      <c r="B34" s="12"/>
      <c r="C34" s="4"/>
      <c r="D34" s="110" t="s">
        <v>271</v>
      </c>
      <c r="E34" s="110"/>
      <c r="F34" s="110" t="s">
        <v>116</v>
      </c>
      <c r="G34" s="273"/>
      <c r="H34" s="110" t="s">
        <v>287</v>
      </c>
      <c r="I34" s="110"/>
      <c r="J34" s="110" t="s">
        <v>289</v>
      </c>
      <c r="K34" s="110"/>
      <c r="L34" s="110" t="s">
        <v>116</v>
      </c>
      <c r="M34" s="110"/>
      <c r="N34" s="110" t="s">
        <v>287</v>
      </c>
      <c r="O34" s="110"/>
      <c r="P34" s="110" t="s">
        <v>289</v>
      </c>
      <c r="Q34" s="4"/>
      <c r="R34" s="4"/>
      <c r="S34" s="4"/>
      <c r="T34" s="12"/>
      <c r="U34" s="4"/>
      <c r="V34" s="4"/>
      <c r="W34" s="4"/>
      <c r="X34" s="4"/>
      <c r="Y34" s="4"/>
      <c r="Z34" s="4"/>
      <c r="AA34" s="4"/>
    </row>
    <row r="35" spans="1:27" ht="12.75">
      <c r="A35" s="4"/>
      <c r="B35" s="12"/>
      <c r="C35" s="4"/>
      <c r="D35" s="319" t="s">
        <v>11</v>
      </c>
      <c r="E35" s="319"/>
      <c r="F35" s="319"/>
      <c r="G35" s="319"/>
      <c r="H35" s="319"/>
      <c r="I35" s="319"/>
      <c r="J35" s="319"/>
      <c r="K35" s="319"/>
      <c r="L35" s="319" t="s">
        <v>417</v>
      </c>
      <c r="M35" s="319"/>
      <c r="N35" s="319"/>
      <c r="O35" s="319"/>
      <c r="P35" s="409">
        <v>50000</v>
      </c>
      <c r="Q35" s="4"/>
      <c r="R35" s="4"/>
      <c r="S35" s="4"/>
      <c r="T35" s="12"/>
      <c r="U35" s="4"/>
      <c r="V35" s="4"/>
      <c r="W35" s="4"/>
      <c r="X35" s="4"/>
      <c r="Y35" s="4"/>
      <c r="Z35" s="4"/>
      <c r="AA35" s="4"/>
    </row>
    <row r="36" spans="1:27" ht="12.75">
      <c r="A36" s="4"/>
      <c r="B36" s="12"/>
      <c r="C36" s="4"/>
      <c r="D36" s="319">
        <v>9</v>
      </c>
      <c r="E36" s="410"/>
      <c r="F36" s="320">
        <f>0.75*90000</f>
        <v>67500</v>
      </c>
      <c r="G36" s="79"/>
      <c r="H36" s="411">
        <v>0.943</v>
      </c>
      <c r="I36" s="79"/>
      <c r="J36" s="320">
        <f aca="true" t="shared" si="0" ref="J36:J41">H36*F36</f>
        <v>63652.5</v>
      </c>
      <c r="K36" s="79"/>
      <c r="L36" s="320">
        <f>R22</f>
        <v>65566.75</v>
      </c>
      <c r="M36" s="320"/>
      <c r="N36" s="411">
        <v>0.943</v>
      </c>
      <c r="O36" s="320"/>
      <c r="P36" s="320">
        <f>N36*L36</f>
        <v>61829.44525</v>
      </c>
      <c r="Q36" s="4"/>
      <c r="R36" s="4"/>
      <c r="S36" s="4"/>
      <c r="T36" s="12"/>
      <c r="U36" s="4"/>
      <c r="V36" s="4"/>
      <c r="W36" s="4"/>
      <c r="X36" s="4"/>
      <c r="Y36" s="4"/>
      <c r="Z36" s="4"/>
      <c r="AA36" s="4"/>
    </row>
    <row r="37" spans="1:27" ht="12.75">
      <c r="A37" s="4"/>
      <c r="B37" s="12"/>
      <c r="C37" s="4"/>
      <c r="D37" s="319">
        <v>10</v>
      </c>
      <c r="E37" s="410"/>
      <c r="F37" s="320">
        <f>0.75*90000</f>
        <v>67500</v>
      </c>
      <c r="G37" s="79"/>
      <c r="H37" s="411">
        <v>0.89</v>
      </c>
      <c r="I37" s="79"/>
      <c r="J37" s="320">
        <f t="shared" si="0"/>
        <v>60075</v>
      </c>
      <c r="K37" s="79"/>
      <c r="L37" s="320">
        <f>R23</f>
        <v>66498.08499999999</v>
      </c>
      <c r="M37" s="320"/>
      <c r="N37" s="411">
        <v>0.89</v>
      </c>
      <c r="O37" s="320"/>
      <c r="P37" s="320">
        <f>N37*L37</f>
        <v>59183.29564999999</v>
      </c>
      <c r="Q37" s="4"/>
      <c r="R37" s="4"/>
      <c r="S37" s="4"/>
      <c r="T37" s="12"/>
      <c r="U37" s="4"/>
      <c r="V37" s="4"/>
      <c r="W37" s="4"/>
      <c r="X37" s="4"/>
      <c r="Y37" s="4"/>
      <c r="Z37" s="4"/>
      <c r="AA37" s="4"/>
    </row>
    <row r="38" spans="1:27" ht="12.75">
      <c r="A38" s="4"/>
      <c r="B38" s="12"/>
      <c r="C38" s="4"/>
      <c r="D38" s="319">
        <v>11</v>
      </c>
      <c r="E38" s="410"/>
      <c r="F38" s="320">
        <f>0.75*90000</f>
        <v>67500</v>
      </c>
      <c r="G38" s="79"/>
      <c r="H38" s="411">
        <v>0.84</v>
      </c>
      <c r="I38" s="79"/>
      <c r="J38" s="320">
        <f t="shared" si="0"/>
        <v>56700</v>
      </c>
      <c r="K38" s="79"/>
      <c r="L38" s="320">
        <f>R24</f>
        <v>67485.3001</v>
      </c>
      <c r="M38" s="320"/>
      <c r="N38" s="411">
        <v>0.84</v>
      </c>
      <c r="O38" s="320"/>
      <c r="P38" s="320">
        <f>N38*L38</f>
        <v>56687.652083999994</v>
      </c>
      <c r="Q38" s="4"/>
      <c r="R38" s="4"/>
      <c r="S38" s="4"/>
      <c r="T38" s="12"/>
      <c r="U38" s="4"/>
      <c r="V38" s="4"/>
      <c r="W38" s="4"/>
      <c r="X38" s="4"/>
      <c r="Y38" s="4"/>
      <c r="Z38" s="4"/>
      <c r="AA38" s="4"/>
    </row>
    <row r="39" spans="1:27" ht="12.75">
      <c r="A39" s="4"/>
      <c r="B39" s="12"/>
      <c r="C39" s="4"/>
      <c r="D39" s="319">
        <v>12</v>
      </c>
      <c r="E39" s="410"/>
      <c r="F39" s="320">
        <f>0.75*90000</f>
        <v>67500</v>
      </c>
      <c r="G39" s="79"/>
      <c r="H39" s="411">
        <v>0.792</v>
      </c>
      <c r="I39" s="79"/>
      <c r="J39" s="320">
        <f t="shared" si="0"/>
        <v>53460</v>
      </c>
      <c r="K39" s="79"/>
      <c r="L39" s="320">
        <f>R25</f>
        <v>68531.748106</v>
      </c>
      <c r="M39" s="320"/>
      <c r="N39" s="411">
        <v>0.792</v>
      </c>
      <c r="O39" s="320"/>
      <c r="P39" s="320">
        <f>N39*L39</f>
        <v>54277.144499952</v>
      </c>
      <c r="Q39" s="4"/>
      <c r="R39" s="4"/>
      <c r="S39" s="4"/>
      <c r="T39" s="12"/>
      <c r="U39" s="4"/>
      <c r="V39" s="4"/>
      <c r="W39" s="4"/>
      <c r="X39" s="4"/>
      <c r="Y39" s="4"/>
      <c r="Z39" s="4"/>
      <c r="AA39" s="4"/>
    </row>
    <row r="40" spans="1:27" ht="12.75">
      <c r="A40" s="4"/>
      <c r="B40" s="12"/>
      <c r="C40" s="4"/>
      <c r="D40" s="319">
        <v>13</v>
      </c>
      <c r="E40" s="410"/>
      <c r="F40" s="320">
        <f>0.75*90000</f>
        <v>67500</v>
      </c>
      <c r="G40" s="79"/>
      <c r="H40" s="411">
        <v>0.747</v>
      </c>
      <c r="I40" s="79"/>
      <c r="J40" s="320">
        <f t="shared" si="0"/>
        <v>50422.5</v>
      </c>
      <c r="K40" s="79"/>
      <c r="L40" s="320">
        <f>R26</f>
        <v>69640.98299236</v>
      </c>
      <c r="M40" s="320"/>
      <c r="N40" s="411">
        <v>0.747</v>
      </c>
      <c r="O40" s="320"/>
      <c r="P40" s="320">
        <f>N40*L40</f>
        <v>52021.81429529293</v>
      </c>
      <c r="Q40" s="4"/>
      <c r="R40" s="4"/>
      <c r="S40" s="4"/>
      <c r="T40" s="12"/>
      <c r="U40" s="4"/>
      <c r="V40" s="4"/>
      <c r="W40" s="4"/>
      <c r="X40" s="4"/>
      <c r="Y40" s="4"/>
      <c r="Z40" s="4"/>
      <c r="AA40" s="4"/>
    </row>
    <row r="41" spans="1:27" ht="12.75">
      <c r="A41" s="4"/>
      <c r="B41" s="12"/>
      <c r="C41" s="4"/>
      <c r="D41" s="264" t="s">
        <v>410</v>
      </c>
      <c r="E41" s="287"/>
      <c r="F41" s="320">
        <v>50000</v>
      </c>
      <c r="G41" s="79"/>
      <c r="H41" s="411">
        <v>0.747</v>
      </c>
      <c r="I41" s="79"/>
      <c r="J41" s="320">
        <f t="shared" si="0"/>
        <v>37350</v>
      </c>
      <c r="K41" s="95"/>
      <c r="L41" s="143"/>
      <c r="M41" s="143"/>
      <c r="N41" s="316"/>
      <c r="O41" s="143"/>
      <c r="P41" s="143"/>
      <c r="Q41" s="4"/>
      <c r="R41" s="94"/>
      <c r="S41" s="4"/>
      <c r="T41" s="12"/>
      <c r="U41" s="4"/>
      <c r="V41" s="4"/>
      <c r="W41" s="4"/>
      <c r="X41" s="4"/>
      <c r="Y41" s="4"/>
      <c r="Z41" s="4"/>
      <c r="AA41" s="4"/>
    </row>
    <row r="42" spans="1:27" ht="12.75">
      <c r="A42" s="4"/>
      <c r="B42" s="12"/>
      <c r="C42" s="4"/>
      <c r="D42" s="4"/>
      <c r="E42" s="4"/>
      <c r="F42" s="4"/>
      <c r="G42" s="4"/>
      <c r="H42" s="4"/>
      <c r="I42" s="4"/>
      <c r="J42" s="320">
        <f>SUM(J36:J41)</f>
        <v>321660</v>
      </c>
      <c r="K42" s="4"/>
      <c r="L42" s="4"/>
      <c r="M42" s="4"/>
      <c r="N42" s="4"/>
      <c r="O42" s="4"/>
      <c r="P42" s="320">
        <f>SUM(P35:P40)</f>
        <v>333999.35177924496</v>
      </c>
      <c r="Q42" s="4"/>
      <c r="R42" s="4"/>
      <c r="S42" s="4"/>
      <c r="T42" s="12"/>
      <c r="U42" s="4"/>
      <c r="V42" s="4"/>
      <c r="W42" s="4"/>
      <c r="X42" s="4"/>
      <c r="Y42" s="4"/>
      <c r="Z42" s="4"/>
      <c r="AA42" s="4"/>
    </row>
    <row r="43" spans="1:27" ht="12.75">
      <c r="A43" s="4"/>
      <c r="B43" s="12"/>
      <c r="C43" s="4"/>
      <c r="D43" s="4"/>
      <c r="E43" s="4"/>
      <c r="F43" s="4"/>
      <c r="G43" s="4"/>
      <c r="H43" s="4"/>
      <c r="I43" s="4"/>
      <c r="J43" s="4"/>
      <c r="K43" s="4"/>
      <c r="L43" s="4"/>
      <c r="M43" s="4"/>
      <c r="N43" s="4"/>
      <c r="O43" s="4"/>
      <c r="P43" s="4"/>
      <c r="Q43" s="4"/>
      <c r="R43" s="4"/>
      <c r="S43" s="4"/>
      <c r="T43" s="12"/>
      <c r="U43" s="4"/>
      <c r="V43" s="4"/>
      <c r="W43" s="4"/>
      <c r="X43" s="4"/>
      <c r="Y43" s="4"/>
      <c r="Z43" s="4"/>
      <c r="AA43" s="4"/>
    </row>
    <row r="44" spans="1:27" ht="12.75">
      <c r="A44" s="4"/>
      <c r="B44" s="12"/>
      <c r="C44" s="4"/>
      <c r="D44" s="4"/>
      <c r="E44" s="4"/>
      <c r="F44" s="4"/>
      <c r="G44" s="4"/>
      <c r="H44" s="4"/>
      <c r="I44" s="4"/>
      <c r="J44" s="4"/>
      <c r="K44" s="4"/>
      <c r="L44" s="4"/>
      <c r="M44" s="4"/>
      <c r="N44" s="4"/>
      <c r="O44" s="4"/>
      <c r="P44" s="4"/>
      <c r="Q44" s="4"/>
      <c r="R44" s="4"/>
      <c r="S44" s="4"/>
      <c r="T44" s="12"/>
      <c r="U44" s="4"/>
      <c r="V44" s="4"/>
      <c r="W44" s="4"/>
      <c r="X44" s="4"/>
      <c r="Y44" s="4"/>
      <c r="Z44" s="4"/>
      <c r="AA44" s="4"/>
    </row>
    <row r="45" spans="1:27" ht="12.75">
      <c r="A45" s="4"/>
      <c r="B45" s="12"/>
      <c r="C45" s="12"/>
      <c r="D45" s="12"/>
      <c r="E45" s="12"/>
      <c r="F45" s="12"/>
      <c r="G45" s="12"/>
      <c r="H45" s="12"/>
      <c r="I45" s="12"/>
      <c r="J45" s="12"/>
      <c r="K45" s="12"/>
      <c r="L45" s="12"/>
      <c r="M45" s="12"/>
      <c r="N45" s="12"/>
      <c r="O45" s="12"/>
      <c r="P45" s="12"/>
      <c r="Q45" s="12"/>
      <c r="R45" s="12"/>
      <c r="S45" s="12"/>
      <c r="T45" s="12"/>
      <c r="U45" s="4"/>
      <c r="V45" s="4"/>
      <c r="W45" s="4"/>
      <c r="X45" s="4"/>
      <c r="Y45" s="4"/>
      <c r="Z45" s="4"/>
      <c r="AA45" s="4"/>
    </row>
    <row r="46" spans="1:2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7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 r="A61" s="4"/>
      <c r="B61" s="4"/>
      <c r="C61" s="4"/>
      <c r="D61" s="4"/>
      <c r="E61" s="4"/>
      <c r="F61" s="4"/>
      <c r="G61" s="4"/>
      <c r="H61" s="4"/>
      <c r="I61" s="4"/>
      <c r="J61" s="4"/>
      <c r="K61" s="4"/>
      <c r="L61" s="4"/>
      <c r="M61" s="4"/>
      <c r="N61" s="4"/>
      <c r="O61" s="4"/>
      <c r="P61" s="4"/>
      <c r="Q61" s="4"/>
      <c r="R61" s="4"/>
      <c r="S61" s="4"/>
      <c r="T61" s="4"/>
      <c r="U61" s="4"/>
      <c r="V61" s="4"/>
      <c r="W61" s="4"/>
      <c r="X61" s="4"/>
      <c r="Y61" s="4"/>
      <c r="Z61" s="4"/>
      <c r="AA61" s="4"/>
    </row>
  </sheetData>
  <sheetProtection password="CE3F" sheet="1" selectLockedCells="1" selectUnlockedCells="1"/>
  <mergeCells count="8">
    <mergeCell ref="F32:J32"/>
    <mergeCell ref="L32:P32"/>
    <mergeCell ref="D4:P4"/>
    <mergeCell ref="J9:L9"/>
    <mergeCell ref="F8:M8"/>
    <mergeCell ref="H19:P19"/>
    <mergeCell ref="F29:O29"/>
    <mergeCell ref="D5:R5"/>
  </mergeCells>
  <printOptions/>
  <pageMargins left="0.7" right="0.7" top="0.75" bottom="0.75" header="0.3" footer="0.3"/>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AF86"/>
  <sheetViews>
    <sheetView zoomScalePageLayoutView="0" workbookViewId="0" topLeftCell="A1">
      <selection activeCell="B1" sqref="B1"/>
    </sheetView>
  </sheetViews>
  <sheetFormatPr defaultColWidth="9.140625" defaultRowHeight="12.75"/>
  <cols>
    <col min="1" max="2" width="2.8515625" style="0" customWidth="1"/>
    <col min="3" max="3" width="2.421875" style="0" customWidth="1"/>
    <col min="4" max="4" width="32.140625" style="0" customWidth="1"/>
    <col min="5" max="5" width="2.7109375" style="0" customWidth="1"/>
    <col min="6" max="6" width="11.8515625" style="0" customWidth="1"/>
    <col min="7" max="7" width="2.8515625" style="0" customWidth="1"/>
    <col min="8" max="8" width="13.140625" style="0" customWidth="1"/>
    <col min="9" max="9" width="2.7109375" style="0" customWidth="1"/>
    <col min="10" max="10" width="12.57421875" style="0" customWidth="1"/>
    <col min="11" max="11" width="3.140625" style="0" customWidth="1"/>
    <col min="12" max="12" width="11.7109375" style="0" customWidth="1"/>
    <col min="13" max="13" width="3.00390625" style="0" customWidth="1"/>
    <col min="14" max="14" width="12.57421875" style="0" customWidth="1"/>
    <col min="15" max="15" width="2.28125" style="0" customWidth="1"/>
    <col min="16" max="16" width="2.7109375" style="0" customWidth="1"/>
    <col min="17" max="17" width="3.00390625" style="0" customWidth="1"/>
    <col min="18" max="18" width="3.140625" style="0" customWidth="1"/>
    <col min="19" max="19" width="2.7109375" style="0" customWidth="1"/>
  </cols>
  <sheetData>
    <row r="1" spans="1:32"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2.75">
      <c r="A2" s="4"/>
      <c r="B2" s="12"/>
      <c r="C2" s="12"/>
      <c r="D2" s="12"/>
      <c r="E2" s="12"/>
      <c r="F2" s="12"/>
      <c r="G2" s="12"/>
      <c r="H2" s="12"/>
      <c r="I2" s="12"/>
      <c r="J2" s="12"/>
      <c r="K2" s="12"/>
      <c r="L2" s="12"/>
      <c r="M2" s="12"/>
      <c r="N2" s="12"/>
      <c r="O2" s="12"/>
      <c r="P2" s="12"/>
      <c r="Q2" s="12"/>
      <c r="R2" s="12"/>
      <c r="S2" s="4"/>
      <c r="T2" s="4"/>
      <c r="U2" s="4"/>
      <c r="V2" s="4"/>
      <c r="W2" s="4"/>
      <c r="X2" s="4"/>
      <c r="Y2" s="4"/>
      <c r="Z2" s="4"/>
      <c r="AA2" s="4"/>
      <c r="AB2" s="4"/>
      <c r="AC2" s="4"/>
      <c r="AD2" s="4"/>
      <c r="AE2" s="4"/>
      <c r="AF2" s="4"/>
    </row>
    <row r="3" spans="1:32" ht="12.75">
      <c r="A3" s="4"/>
      <c r="B3" s="12"/>
      <c r="C3" s="4"/>
      <c r="D3" s="4"/>
      <c r="E3" s="4"/>
      <c r="F3" s="4"/>
      <c r="G3" s="4"/>
      <c r="H3" s="4"/>
      <c r="I3" s="4"/>
      <c r="J3" s="4"/>
      <c r="K3" s="4"/>
      <c r="L3" s="4"/>
      <c r="M3" s="4"/>
      <c r="N3" s="4"/>
      <c r="O3" s="4"/>
      <c r="P3" s="4"/>
      <c r="Q3" s="4"/>
      <c r="R3" s="12"/>
      <c r="S3" s="4"/>
      <c r="T3" s="4"/>
      <c r="U3" s="4"/>
      <c r="V3" s="4"/>
      <c r="W3" s="4"/>
      <c r="X3" s="4"/>
      <c r="Y3" s="4"/>
      <c r="Z3" s="4"/>
      <c r="AA3" s="4"/>
      <c r="AB3" s="4"/>
      <c r="AC3" s="4"/>
      <c r="AD3" s="4"/>
      <c r="AE3" s="4"/>
      <c r="AF3" s="4"/>
    </row>
    <row r="4" spans="1:32" ht="15.75">
      <c r="A4" s="4"/>
      <c r="B4" s="12"/>
      <c r="C4" s="4"/>
      <c r="D4" s="99" t="s">
        <v>194</v>
      </c>
      <c r="E4" s="94"/>
      <c r="F4" s="94"/>
      <c r="G4" s="94"/>
      <c r="H4" s="94"/>
      <c r="I4" s="94"/>
      <c r="J4" s="94"/>
      <c r="K4" s="94"/>
      <c r="L4" s="94"/>
      <c r="M4" s="4"/>
      <c r="N4" s="4"/>
      <c r="O4" s="4"/>
      <c r="P4" s="4"/>
      <c r="Q4" s="4"/>
      <c r="R4" s="12"/>
      <c r="S4" s="4"/>
      <c r="T4" s="4"/>
      <c r="U4" s="4"/>
      <c r="V4" s="4"/>
      <c r="W4" s="4"/>
      <c r="X4" s="4"/>
      <c r="Y4" s="4"/>
      <c r="Z4" s="4"/>
      <c r="AA4" s="4"/>
      <c r="AB4" s="4"/>
      <c r="AC4" s="4"/>
      <c r="AD4" s="4"/>
      <c r="AE4" s="4"/>
      <c r="AF4" s="4"/>
    </row>
    <row r="5" spans="1:32" ht="15.75">
      <c r="A5" s="4"/>
      <c r="B5" s="12"/>
      <c r="C5" s="4"/>
      <c r="D5" s="99"/>
      <c r="E5" s="94"/>
      <c r="F5" s="94"/>
      <c r="G5" s="94"/>
      <c r="H5" s="94"/>
      <c r="I5" s="94"/>
      <c r="J5" s="94"/>
      <c r="K5" s="94"/>
      <c r="L5" s="94"/>
      <c r="M5" s="4"/>
      <c r="N5" s="4"/>
      <c r="O5" s="4"/>
      <c r="P5" s="4"/>
      <c r="Q5" s="4"/>
      <c r="R5" s="12"/>
      <c r="S5" s="4"/>
      <c r="T5" s="4"/>
      <c r="U5" s="4"/>
      <c r="V5" s="4"/>
      <c r="W5" s="4"/>
      <c r="X5" s="4"/>
      <c r="Y5" s="4"/>
      <c r="Z5" s="4"/>
      <c r="AA5" s="4"/>
      <c r="AB5" s="4"/>
      <c r="AC5" s="4"/>
      <c r="AD5" s="4"/>
      <c r="AE5" s="4"/>
      <c r="AF5" s="4"/>
    </row>
    <row r="6" spans="1:32" ht="12.75">
      <c r="A6" s="4"/>
      <c r="B6" s="12"/>
      <c r="C6" s="4"/>
      <c r="D6" s="4"/>
      <c r="E6" s="94"/>
      <c r="F6" s="491" t="s">
        <v>195</v>
      </c>
      <c r="G6" s="515"/>
      <c r="H6" s="515"/>
      <c r="I6" s="515"/>
      <c r="J6" s="515"/>
      <c r="K6" s="94"/>
      <c r="L6" s="94"/>
      <c r="M6" s="4"/>
      <c r="N6" s="4"/>
      <c r="O6" s="4"/>
      <c r="P6" s="4"/>
      <c r="Q6" s="4"/>
      <c r="R6" s="12"/>
      <c r="S6" s="4"/>
      <c r="T6" s="4"/>
      <c r="U6" s="4"/>
      <c r="V6" s="4"/>
      <c r="W6" s="4"/>
      <c r="X6" s="4"/>
      <c r="Y6" s="4"/>
      <c r="Z6" s="4"/>
      <c r="AA6" s="4"/>
      <c r="AB6" s="4"/>
      <c r="AC6" s="4"/>
      <c r="AD6" s="4"/>
      <c r="AE6" s="4"/>
      <c r="AF6" s="4"/>
    </row>
    <row r="7" spans="1:32" ht="12.75">
      <c r="A7" s="4"/>
      <c r="B7" s="12"/>
      <c r="C7" s="4"/>
      <c r="D7" s="93" t="s">
        <v>184</v>
      </c>
      <c r="E7" s="94"/>
      <c r="F7" s="94"/>
      <c r="G7" s="94"/>
      <c r="H7" s="94"/>
      <c r="I7" s="94"/>
      <c r="J7" s="94"/>
      <c r="K7" s="94"/>
      <c r="L7" s="94"/>
      <c r="M7" s="4"/>
      <c r="N7" s="4"/>
      <c r="O7" s="4"/>
      <c r="P7" s="4"/>
      <c r="Q7" s="4"/>
      <c r="R7" s="12"/>
      <c r="S7" s="4"/>
      <c r="T7" s="4"/>
      <c r="U7" s="4"/>
      <c r="V7" s="4"/>
      <c r="W7" s="4"/>
      <c r="X7" s="4"/>
      <c r="Y7" s="4"/>
      <c r="Z7" s="4"/>
      <c r="AA7" s="4"/>
      <c r="AB7" s="4"/>
      <c r="AC7" s="4"/>
      <c r="AD7" s="4"/>
      <c r="AE7" s="4"/>
      <c r="AF7" s="4"/>
    </row>
    <row r="8" spans="1:32" ht="12.75">
      <c r="A8" s="4"/>
      <c r="B8" s="12"/>
      <c r="C8" s="4"/>
      <c r="D8" s="93"/>
      <c r="E8" s="94"/>
      <c r="F8" s="94"/>
      <c r="G8" s="94"/>
      <c r="H8" s="94"/>
      <c r="I8" s="94"/>
      <c r="J8" s="94"/>
      <c r="K8" s="94"/>
      <c r="L8" s="94"/>
      <c r="M8" s="4"/>
      <c r="N8" s="4"/>
      <c r="O8" s="4"/>
      <c r="P8" s="4"/>
      <c r="Q8" s="4"/>
      <c r="R8" s="12"/>
      <c r="S8" s="4"/>
      <c r="T8" s="4"/>
      <c r="U8" s="4"/>
      <c r="V8" s="4"/>
      <c r="W8" s="4"/>
      <c r="X8" s="4"/>
      <c r="Y8" s="4"/>
      <c r="Z8" s="4"/>
      <c r="AA8" s="4"/>
      <c r="AB8" s="4"/>
      <c r="AC8" s="4"/>
      <c r="AD8" s="4"/>
      <c r="AE8" s="4"/>
      <c r="AF8" s="4"/>
    </row>
    <row r="9" spans="1:32" ht="12.75">
      <c r="A9" s="4"/>
      <c r="B9" s="12"/>
      <c r="C9" s="4"/>
      <c r="D9" s="100"/>
      <c r="E9" s="386"/>
      <c r="F9" s="103" t="s">
        <v>189</v>
      </c>
      <c r="G9" s="385"/>
      <c r="H9" s="103" t="s">
        <v>190</v>
      </c>
      <c r="I9" s="100"/>
      <c r="J9" s="100"/>
      <c r="K9" s="100"/>
      <c r="L9" s="100"/>
      <c r="M9" s="74"/>
      <c r="N9" s="74"/>
      <c r="O9" s="74"/>
      <c r="P9" s="4"/>
      <c r="Q9" s="4"/>
      <c r="R9" s="12"/>
      <c r="S9" s="4"/>
      <c r="T9" s="4"/>
      <c r="U9" s="4"/>
      <c r="V9" s="4"/>
      <c r="W9" s="4"/>
      <c r="X9" s="4"/>
      <c r="Y9" s="4"/>
      <c r="Z9" s="4"/>
      <c r="AA9" s="4"/>
      <c r="AB9" s="4"/>
      <c r="AC9" s="4"/>
      <c r="AD9" s="4"/>
      <c r="AE9" s="4"/>
      <c r="AF9" s="4"/>
    </row>
    <row r="10" spans="1:32" ht="12.75">
      <c r="A10" s="4"/>
      <c r="B10" s="12"/>
      <c r="C10" s="4"/>
      <c r="D10" s="102" t="s">
        <v>185</v>
      </c>
      <c r="E10" s="270"/>
      <c r="F10" s="412">
        <f>SUM(Task_3_Canadian_Sales_Forecasts!M28)</f>
        <v>54816</v>
      </c>
      <c r="G10" s="386"/>
      <c r="H10" s="412">
        <v>24200</v>
      </c>
      <c r="I10" s="74"/>
      <c r="J10" s="74"/>
      <c r="K10" s="74"/>
      <c r="L10" s="74"/>
      <c r="M10" s="74"/>
      <c r="N10" s="74"/>
      <c r="O10" s="74"/>
      <c r="P10" s="4"/>
      <c r="Q10" s="4"/>
      <c r="R10" s="12"/>
      <c r="S10" s="4"/>
      <c r="T10" s="4"/>
      <c r="U10" s="4"/>
      <c r="V10" s="4"/>
      <c r="W10" s="4"/>
      <c r="X10" s="4"/>
      <c r="Y10" s="4"/>
      <c r="Z10" s="4"/>
      <c r="AA10" s="4"/>
      <c r="AB10" s="4"/>
      <c r="AC10" s="4"/>
      <c r="AD10" s="4"/>
      <c r="AE10" s="4"/>
      <c r="AF10" s="4"/>
    </row>
    <row r="11" spans="1:32" ht="12.75">
      <c r="A11" s="4"/>
      <c r="B11" s="12"/>
      <c r="C11" s="4"/>
      <c r="D11" s="275" t="s">
        <v>292</v>
      </c>
      <c r="E11" s="270"/>
      <c r="F11" s="412">
        <v>975000</v>
      </c>
      <c r="G11" s="369"/>
      <c r="H11" s="412">
        <v>200000</v>
      </c>
      <c r="I11" s="74"/>
      <c r="J11" s="74"/>
      <c r="K11" s="74"/>
      <c r="L11" s="74"/>
      <c r="M11" s="74"/>
      <c r="N11" s="74"/>
      <c r="O11" s="74"/>
      <c r="P11" s="4"/>
      <c r="Q11" s="4"/>
      <c r="R11" s="12"/>
      <c r="S11" s="4"/>
      <c r="T11" s="4"/>
      <c r="U11" s="4"/>
      <c r="V11" s="4"/>
      <c r="W11" s="4"/>
      <c r="X11" s="4"/>
      <c r="Y11" s="4"/>
      <c r="Z11" s="4"/>
      <c r="AA11" s="4"/>
      <c r="AB11" s="4"/>
      <c r="AC11" s="4"/>
      <c r="AD11" s="4"/>
      <c r="AE11" s="4"/>
      <c r="AF11" s="4"/>
    </row>
    <row r="12" spans="1:32" ht="12.75">
      <c r="A12" s="4"/>
      <c r="B12" s="12"/>
      <c r="C12" s="4"/>
      <c r="D12" s="101" t="s">
        <v>186</v>
      </c>
      <c r="E12" s="270"/>
      <c r="F12" s="413">
        <f>F10/F11</f>
        <v>0.05622153846153846</v>
      </c>
      <c r="G12" s="288"/>
      <c r="H12" s="413">
        <f>H10/H11</f>
        <v>0.121</v>
      </c>
      <c r="I12" s="74"/>
      <c r="J12" s="74"/>
      <c r="K12" s="74"/>
      <c r="L12" s="74"/>
      <c r="M12" s="74"/>
      <c r="N12" s="74"/>
      <c r="O12" s="74"/>
      <c r="P12" s="4"/>
      <c r="Q12" s="4"/>
      <c r="R12" s="12"/>
      <c r="S12" s="4"/>
      <c r="T12" s="4"/>
      <c r="U12" s="4"/>
      <c r="V12" s="4"/>
      <c r="W12" s="4"/>
      <c r="X12" s="4"/>
      <c r="Y12" s="4"/>
      <c r="Z12" s="4"/>
      <c r="AA12" s="4"/>
      <c r="AB12" s="4"/>
      <c r="AC12" s="4"/>
      <c r="AD12" s="4"/>
      <c r="AE12" s="4"/>
      <c r="AF12" s="4"/>
    </row>
    <row r="13" spans="1:32" ht="12.75">
      <c r="A13" s="4"/>
      <c r="B13" s="12"/>
      <c r="C13" s="4"/>
      <c r="D13" s="93" t="s">
        <v>187</v>
      </c>
      <c r="E13" s="94"/>
      <c r="F13" s="414">
        <v>2.25</v>
      </c>
      <c r="G13" s="94"/>
      <c r="H13" s="414">
        <v>1.35</v>
      </c>
      <c r="I13" s="94"/>
      <c r="J13" s="94"/>
      <c r="K13" s="94"/>
      <c r="L13" s="94"/>
      <c r="M13" s="4"/>
      <c r="N13" s="4"/>
      <c r="O13" s="4"/>
      <c r="P13" s="4"/>
      <c r="Q13" s="4"/>
      <c r="R13" s="12"/>
      <c r="S13" s="4"/>
      <c r="T13" s="4"/>
      <c r="U13" s="4"/>
      <c r="V13" s="4"/>
      <c r="W13" s="4"/>
      <c r="X13" s="4"/>
      <c r="Y13" s="4"/>
      <c r="Z13" s="4"/>
      <c r="AA13" s="4"/>
      <c r="AB13" s="4"/>
      <c r="AC13" s="4"/>
      <c r="AD13" s="4"/>
      <c r="AE13" s="4"/>
      <c r="AF13" s="4"/>
    </row>
    <row r="14" spans="1:32" ht="12.75">
      <c r="A14" s="4"/>
      <c r="B14" s="12"/>
      <c r="C14" s="4"/>
      <c r="D14" s="101" t="s">
        <v>188</v>
      </c>
      <c r="E14" s="386"/>
      <c r="F14" s="412">
        <f>F13/F12</f>
        <v>40.02024956217163</v>
      </c>
      <c r="G14" s="386"/>
      <c r="H14" s="412">
        <f>H13/H12</f>
        <v>11.15702479338843</v>
      </c>
      <c r="I14" s="100"/>
      <c r="J14" s="100"/>
      <c r="K14" s="100"/>
      <c r="L14" s="270"/>
      <c r="M14" s="74"/>
      <c r="N14" s="74"/>
      <c r="O14" s="74"/>
      <c r="P14" s="4"/>
      <c r="Q14" s="4"/>
      <c r="R14" s="12"/>
      <c r="S14" s="4"/>
      <c r="T14" s="4"/>
      <c r="U14" s="4"/>
      <c r="V14" s="4"/>
      <c r="W14" s="4"/>
      <c r="X14" s="4"/>
      <c r="Y14" s="4"/>
      <c r="Z14" s="4"/>
      <c r="AA14" s="4"/>
      <c r="AB14" s="4"/>
      <c r="AC14" s="4"/>
      <c r="AD14" s="4"/>
      <c r="AE14" s="4"/>
      <c r="AF14" s="4"/>
    </row>
    <row r="15" spans="1:32" ht="12.75">
      <c r="A15" s="4"/>
      <c r="B15" s="12"/>
      <c r="C15" s="4"/>
      <c r="D15" s="100"/>
      <c r="E15" s="100"/>
      <c r="F15" s="100"/>
      <c r="G15" s="100"/>
      <c r="H15" s="100"/>
      <c r="I15" s="100"/>
      <c r="J15" s="100"/>
      <c r="K15" s="100"/>
      <c r="L15" s="100"/>
      <c r="M15" s="74"/>
      <c r="N15" s="74"/>
      <c r="O15" s="74"/>
      <c r="P15" s="4"/>
      <c r="Q15" s="4"/>
      <c r="R15" s="12"/>
      <c r="S15" s="4"/>
      <c r="T15" s="4"/>
      <c r="U15" s="4"/>
      <c r="V15" s="4"/>
      <c r="W15" s="4"/>
      <c r="X15" s="4"/>
      <c r="Y15" s="4"/>
      <c r="Z15" s="4"/>
      <c r="AA15" s="4"/>
      <c r="AB15" s="4"/>
      <c r="AC15" s="4"/>
      <c r="AD15" s="4"/>
      <c r="AE15" s="4"/>
      <c r="AF15" s="4"/>
    </row>
    <row r="16" spans="1:32" ht="12.75">
      <c r="A16" s="4"/>
      <c r="B16" s="12"/>
      <c r="C16" s="4"/>
      <c r="D16" s="98"/>
      <c r="E16" s="74"/>
      <c r="F16" s="501" t="s">
        <v>191</v>
      </c>
      <c r="G16" s="520"/>
      <c r="H16" s="520"/>
      <c r="I16" s="74"/>
      <c r="J16" s="74"/>
      <c r="K16" s="74"/>
      <c r="L16" s="74"/>
      <c r="M16" s="74"/>
      <c r="N16" s="74"/>
      <c r="O16" s="74"/>
      <c r="P16" s="4"/>
      <c r="Q16" s="4"/>
      <c r="R16" s="12"/>
      <c r="S16" s="4"/>
      <c r="T16" s="4"/>
      <c r="U16" s="4"/>
      <c r="V16" s="4"/>
      <c r="W16" s="4"/>
      <c r="X16" s="4"/>
      <c r="Y16" s="4"/>
      <c r="Z16" s="4"/>
      <c r="AA16" s="4"/>
      <c r="AB16" s="4"/>
      <c r="AC16" s="4"/>
      <c r="AD16" s="4"/>
      <c r="AE16" s="4"/>
      <c r="AF16" s="4"/>
    </row>
    <row r="17" spans="1:32" ht="12.75">
      <c r="A17" s="4"/>
      <c r="B17" s="12"/>
      <c r="C17" s="4"/>
      <c r="D17" s="74"/>
      <c r="E17" s="74"/>
      <c r="F17" s="104" t="s">
        <v>192</v>
      </c>
      <c r="G17" s="92"/>
      <c r="H17" s="104" t="s">
        <v>193</v>
      </c>
      <c r="I17" s="74"/>
      <c r="J17" s="74"/>
      <c r="K17" s="74"/>
      <c r="L17" s="74"/>
      <c r="M17" s="74"/>
      <c r="N17" s="74"/>
      <c r="O17" s="74"/>
      <c r="P17" s="4"/>
      <c r="Q17" s="4"/>
      <c r="R17" s="12"/>
      <c r="S17" s="4"/>
      <c r="T17" s="4"/>
      <c r="U17" s="4"/>
      <c r="V17" s="4"/>
      <c r="W17" s="4"/>
      <c r="X17" s="4"/>
      <c r="Y17" s="4"/>
      <c r="Z17" s="4"/>
      <c r="AA17" s="4"/>
      <c r="AB17" s="4"/>
      <c r="AC17" s="4"/>
      <c r="AD17" s="4"/>
      <c r="AE17" s="4"/>
      <c r="AF17" s="4"/>
    </row>
    <row r="18" spans="1:32" ht="12.75">
      <c r="A18" s="4"/>
      <c r="B18" s="12"/>
      <c r="C18" s="4"/>
      <c r="D18" s="74"/>
      <c r="E18" s="74"/>
      <c r="F18" s="74"/>
      <c r="G18" s="74"/>
      <c r="H18" s="74"/>
      <c r="I18" s="74"/>
      <c r="J18" s="74"/>
      <c r="K18" s="74"/>
      <c r="L18" s="74"/>
      <c r="M18" s="74"/>
      <c r="N18" s="74"/>
      <c r="O18" s="74"/>
      <c r="P18" s="4"/>
      <c r="Q18" s="4"/>
      <c r="R18" s="12"/>
      <c r="S18" s="4"/>
      <c r="T18" s="4"/>
      <c r="U18" s="4"/>
      <c r="V18" s="4"/>
      <c r="W18" s="4"/>
      <c r="X18" s="4"/>
      <c r="Y18" s="4"/>
      <c r="Z18" s="4"/>
      <c r="AA18" s="4"/>
      <c r="AB18" s="4"/>
      <c r="AC18" s="4"/>
      <c r="AD18" s="4"/>
      <c r="AE18" s="4"/>
      <c r="AF18" s="4"/>
    </row>
    <row r="19" spans="1:32" ht="12.75">
      <c r="A19" s="4"/>
      <c r="B19" s="12"/>
      <c r="C19" s="4"/>
      <c r="D19" s="93" t="s">
        <v>189</v>
      </c>
      <c r="E19" s="94"/>
      <c r="F19" s="415">
        <f>F12</f>
        <v>0.05622153846153846</v>
      </c>
      <c r="G19" s="94"/>
      <c r="H19" s="415">
        <f>SUM(F10:H10)/(+F11+(H11/3))</f>
        <v>0.07585536</v>
      </c>
      <c r="I19" s="95"/>
      <c r="J19" s="94"/>
      <c r="K19" s="94"/>
      <c r="L19" s="94"/>
      <c r="M19" s="4"/>
      <c r="N19" s="4"/>
      <c r="O19" s="4"/>
      <c r="P19" s="4"/>
      <c r="Q19" s="4"/>
      <c r="R19" s="12"/>
      <c r="S19" s="4"/>
      <c r="T19" s="4"/>
      <c r="U19" s="4"/>
      <c r="V19" s="4"/>
      <c r="W19" s="4"/>
      <c r="X19" s="4"/>
      <c r="Y19" s="4"/>
      <c r="Z19" s="4"/>
      <c r="AA19" s="4"/>
      <c r="AB19" s="4"/>
      <c r="AC19" s="4"/>
      <c r="AD19" s="4"/>
      <c r="AE19" s="4"/>
      <c r="AF19" s="4"/>
    </row>
    <row r="20" spans="1:32" ht="12.75">
      <c r="A20" s="4"/>
      <c r="B20" s="12"/>
      <c r="C20" s="4"/>
      <c r="D20" s="93" t="s">
        <v>190</v>
      </c>
      <c r="E20" s="94"/>
      <c r="F20" s="415">
        <f>H12</f>
        <v>0.121</v>
      </c>
      <c r="G20" s="94"/>
      <c r="H20" s="95"/>
      <c r="I20" s="94"/>
      <c r="J20" s="94"/>
      <c r="K20" s="94"/>
      <c r="L20" s="94"/>
      <c r="M20" s="4"/>
      <c r="N20" s="4"/>
      <c r="O20" s="4"/>
      <c r="P20" s="4"/>
      <c r="Q20" s="4"/>
      <c r="R20" s="12"/>
      <c r="S20" s="4"/>
      <c r="T20" s="4"/>
      <c r="U20" s="4"/>
      <c r="V20" s="4"/>
      <c r="W20" s="4"/>
      <c r="X20" s="4"/>
      <c r="Y20" s="4"/>
      <c r="Z20" s="4"/>
      <c r="AA20" s="4"/>
      <c r="AB20" s="4"/>
      <c r="AC20" s="4"/>
      <c r="AD20" s="4"/>
      <c r="AE20" s="4"/>
      <c r="AF20" s="4"/>
    </row>
    <row r="21" spans="1:32" ht="12.75">
      <c r="A21" s="4"/>
      <c r="B21" s="12"/>
      <c r="C21" s="4"/>
      <c r="D21" s="94"/>
      <c r="E21" s="94"/>
      <c r="F21" s="94"/>
      <c r="G21" s="94"/>
      <c r="H21" s="95"/>
      <c r="I21" s="94"/>
      <c r="J21" s="94"/>
      <c r="K21" s="94"/>
      <c r="L21" s="94"/>
      <c r="M21" s="4"/>
      <c r="N21" s="4"/>
      <c r="O21" s="4"/>
      <c r="P21" s="4"/>
      <c r="Q21" s="4"/>
      <c r="R21" s="12"/>
      <c r="S21" s="4"/>
      <c r="T21" s="4"/>
      <c r="U21" s="4"/>
      <c r="V21" s="4"/>
      <c r="W21" s="4"/>
      <c r="X21" s="4"/>
      <c r="Y21" s="4"/>
      <c r="Z21" s="4"/>
      <c r="AA21" s="4"/>
      <c r="AB21" s="4"/>
      <c r="AC21" s="4"/>
      <c r="AD21" s="4"/>
      <c r="AE21" s="4"/>
      <c r="AF21" s="4"/>
    </row>
    <row r="22" spans="1:32" ht="12.75">
      <c r="A22" s="4"/>
      <c r="B22" s="12"/>
      <c r="C22" s="4"/>
      <c r="D22" s="94"/>
      <c r="E22" s="94"/>
      <c r="F22" s="94"/>
      <c r="G22" s="94"/>
      <c r="H22" s="95"/>
      <c r="I22" s="94"/>
      <c r="J22" s="94"/>
      <c r="K22" s="94"/>
      <c r="L22" s="94"/>
      <c r="M22" s="4"/>
      <c r="N22" s="4"/>
      <c r="O22" s="4"/>
      <c r="P22" s="4"/>
      <c r="Q22" s="4"/>
      <c r="R22" s="12"/>
      <c r="S22" s="4"/>
      <c r="T22" s="4"/>
      <c r="U22" s="4"/>
      <c r="V22" s="4"/>
      <c r="W22" s="4"/>
      <c r="X22" s="4"/>
      <c r="Y22" s="4"/>
      <c r="Z22" s="4"/>
      <c r="AA22" s="4"/>
      <c r="AB22" s="4"/>
      <c r="AC22" s="4"/>
      <c r="AD22" s="4"/>
      <c r="AE22" s="4"/>
      <c r="AF22" s="4"/>
    </row>
    <row r="23" spans="1:32" ht="12.75">
      <c r="A23" s="4"/>
      <c r="B23" s="12"/>
      <c r="C23" s="4"/>
      <c r="D23" s="491" t="s">
        <v>462</v>
      </c>
      <c r="E23" s="522"/>
      <c r="F23" s="522"/>
      <c r="G23" s="522"/>
      <c r="H23" s="522"/>
      <c r="I23" s="522"/>
      <c r="J23" s="522"/>
      <c r="K23" s="522"/>
      <c r="L23" s="522"/>
      <c r="M23" s="522"/>
      <c r="N23" s="522"/>
      <c r="O23" s="4"/>
      <c r="P23" s="4"/>
      <c r="Q23" s="4"/>
      <c r="R23" s="12"/>
      <c r="S23" s="4"/>
      <c r="T23" s="4"/>
      <c r="U23" s="4"/>
      <c r="V23" s="4"/>
      <c r="W23" s="4"/>
      <c r="X23" s="4"/>
      <c r="Y23" s="4"/>
      <c r="Z23" s="4"/>
      <c r="AA23" s="4"/>
      <c r="AB23" s="4"/>
      <c r="AC23" s="4"/>
      <c r="AD23" s="4"/>
      <c r="AE23" s="4"/>
      <c r="AF23" s="4"/>
    </row>
    <row r="24" spans="1:32" ht="12.75">
      <c r="A24" s="4"/>
      <c r="B24" s="12"/>
      <c r="C24" s="4"/>
      <c r="D24" s="276"/>
      <c r="E24" s="276"/>
      <c r="F24" s="418" t="s">
        <v>87</v>
      </c>
      <c r="G24" s="418"/>
      <c r="H24" s="418" t="s">
        <v>132</v>
      </c>
      <c r="I24" s="418"/>
      <c r="J24" s="418" t="s">
        <v>88</v>
      </c>
      <c r="K24" s="418"/>
      <c r="L24" s="418" t="s">
        <v>133</v>
      </c>
      <c r="M24" s="418"/>
      <c r="N24" s="418" t="s">
        <v>89</v>
      </c>
      <c r="O24" s="4"/>
      <c r="P24" s="4"/>
      <c r="Q24" s="4"/>
      <c r="R24" s="12"/>
      <c r="S24" s="4"/>
      <c r="T24" s="4"/>
      <c r="U24" s="4"/>
      <c r="V24" s="4"/>
      <c r="W24" s="4"/>
      <c r="X24" s="4"/>
      <c r="Y24" s="4"/>
      <c r="Z24" s="4"/>
      <c r="AA24" s="4"/>
      <c r="AB24" s="4"/>
      <c r="AC24" s="4"/>
      <c r="AD24" s="4"/>
      <c r="AE24" s="4"/>
      <c r="AF24" s="4"/>
    </row>
    <row r="25" spans="1:32" ht="12.75">
      <c r="A25" s="4"/>
      <c r="B25" s="12"/>
      <c r="C25" s="4"/>
      <c r="D25" s="94" t="s">
        <v>414</v>
      </c>
      <c r="E25" s="94"/>
      <c r="F25" s="79">
        <f>H10*1.02</f>
        <v>24684</v>
      </c>
      <c r="G25" s="79"/>
      <c r="H25" s="416">
        <f>F25*1.1</f>
        <v>27152.4</v>
      </c>
      <c r="I25" s="416"/>
      <c r="J25" s="416">
        <f>H25*1.1</f>
        <v>29867.640000000003</v>
      </c>
      <c r="K25" s="416"/>
      <c r="L25" s="416">
        <f>J25*1.1</f>
        <v>32854.40400000001</v>
      </c>
      <c r="M25" s="417"/>
      <c r="N25" s="416">
        <f>L25*1.1</f>
        <v>36139.844400000016</v>
      </c>
      <c r="O25" s="4"/>
      <c r="P25" s="4"/>
      <c r="Q25" s="4"/>
      <c r="R25" s="12"/>
      <c r="S25" s="4"/>
      <c r="T25" s="4"/>
      <c r="U25" s="4"/>
      <c r="V25" s="4"/>
      <c r="W25" s="4"/>
      <c r="X25" s="4"/>
      <c r="Y25" s="4"/>
      <c r="Z25" s="4"/>
      <c r="AA25" s="4"/>
      <c r="AB25" s="4"/>
      <c r="AC25" s="4"/>
      <c r="AD25" s="4"/>
      <c r="AE25" s="4"/>
      <c r="AF25" s="4"/>
    </row>
    <row r="26" spans="1:32" ht="12.75">
      <c r="A26" s="4"/>
      <c r="B26" s="12"/>
      <c r="C26" s="4"/>
      <c r="D26" s="94" t="s">
        <v>116</v>
      </c>
      <c r="E26" s="94"/>
      <c r="F26" s="79">
        <f>(H10+28000)*1.02</f>
        <v>53244</v>
      </c>
      <c r="G26" s="79"/>
      <c r="H26" s="416">
        <f>(H25+28000)*1.02</f>
        <v>56255.448000000004</v>
      </c>
      <c r="I26" s="416"/>
      <c r="J26" s="416">
        <f>(J25+28000)*1.02</f>
        <v>59024.9928</v>
      </c>
      <c r="K26" s="416"/>
      <c r="L26" s="416">
        <f>(L25+28000)*1.02</f>
        <v>62071.49208000001</v>
      </c>
      <c r="M26" s="417"/>
      <c r="N26" s="416">
        <f>(N25+28000)*1.02</f>
        <v>65422.64128800002</v>
      </c>
      <c r="O26" s="4"/>
      <c r="P26" s="4"/>
      <c r="Q26" s="4"/>
      <c r="R26" s="12"/>
      <c r="S26" s="4"/>
      <c r="T26" s="4"/>
      <c r="U26" s="4"/>
      <c r="V26" s="4"/>
      <c r="W26" s="4"/>
      <c r="X26" s="4"/>
      <c r="Y26" s="4"/>
      <c r="Z26" s="4"/>
      <c r="AA26" s="4"/>
      <c r="AB26" s="4"/>
      <c r="AC26" s="4"/>
      <c r="AD26" s="4"/>
      <c r="AE26" s="4"/>
      <c r="AF26" s="4"/>
    </row>
    <row r="27" spans="1:32" ht="12.75">
      <c r="A27" s="4"/>
      <c r="B27" s="12"/>
      <c r="C27" s="4"/>
      <c r="D27" s="94" t="s">
        <v>463</v>
      </c>
      <c r="E27" s="94"/>
      <c r="F27" s="94"/>
      <c r="G27" s="94"/>
      <c r="H27" s="95"/>
      <c r="I27" s="94"/>
      <c r="J27" s="94"/>
      <c r="K27" s="94"/>
      <c r="L27" s="94"/>
      <c r="M27" s="4"/>
      <c r="N27" s="4"/>
      <c r="O27" s="4"/>
      <c r="P27" s="4"/>
      <c r="Q27" s="4"/>
      <c r="R27" s="12"/>
      <c r="S27" s="4"/>
      <c r="T27" s="4"/>
      <c r="U27" s="4"/>
      <c r="V27" s="4"/>
      <c r="W27" s="4"/>
      <c r="X27" s="4"/>
      <c r="Y27" s="4"/>
      <c r="Z27" s="4"/>
      <c r="AA27" s="4"/>
      <c r="AB27" s="4"/>
      <c r="AC27" s="4"/>
      <c r="AD27" s="4"/>
      <c r="AE27" s="4"/>
      <c r="AF27" s="4"/>
    </row>
    <row r="28" spans="1:32" ht="12.75">
      <c r="A28" s="4"/>
      <c r="B28" s="12"/>
      <c r="C28" s="4"/>
      <c r="D28" s="94" t="s">
        <v>464</v>
      </c>
      <c r="E28" s="94"/>
      <c r="F28" s="94"/>
      <c r="G28" s="94"/>
      <c r="H28" s="95"/>
      <c r="I28" s="94"/>
      <c r="J28" s="94"/>
      <c r="K28" s="94"/>
      <c r="L28" s="94"/>
      <c r="M28" s="4"/>
      <c r="N28" s="4"/>
      <c r="O28" s="4"/>
      <c r="P28" s="4"/>
      <c r="Q28" s="4"/>
      <c r="R28" s="12"/>
      <c r="S28" s="4"/>
      <c r="T28" s="4"/>
      <c r="U28" s="4"/>
      <c r="V28" s="4"/>
      <c r="W28" s="4"/>
      <c r="X28" s="4"/>
      <c r="Y28" s="4"/>
      <c r="Z28" s="4"/>
      <c r="AA28" s="4"/>
      <c r="AB28" s="4"/>
      <c r="AC28" s="4"/>
      <c r="AD28" s="4"/>
      <c r="AE28" s="4"/>
      <c r="AF28" s="4"/>
    </row>
    <row r="29" spans="1:32" ht="12.75">
      <c r="A29" s="4"/>
      <c r="B29" s="12"/>
      <c r="C29" s="4"/>
      <c r="D29" s="4"/>
      <c r="E29" s="4"/>
      <c r="F29" s="4"/>
      <c r="G29" s="4"/>
      <c r="H29" s="4"/>
      <c r="I29" s="4"/>
      <c r="J29" s="4"/>
      <c r="K29" s="4"/>
      <c r="L29" s="4"/>
      <c r="M29" s="4"/>
      <c r="N29" s="4"/>
      <c r="O29" s="4"/>
      <c r="P29" s="4"/>
      <c r="Q29" s="4"/>
      <c r="R29" s="12"/>
      <c r="S29" s="4"/>
      <c r="T29" s="4"/>
      <c r="U29" s="4"/>
      <c r="V29" s="4"/>
      <c r="W29" s="4"/>
      <c r="X29" s="4"/>
      <c r="Y29" s="4"/>
      <c r="Z29" s="4"/>
      <c r="AA29" s="4"/>
      <c r="AB29" s="4"/>
      <c r="AC29" s="4"/>
      <c r="AD29" s="4"/>
      <c r="AE29" s="4"/>
      <c r="AF29" s="4"/>
    </row>
    <row r="30" spans="1:32" ht="12.75">
      <c r="A30" s="4"/>
      <c r="B30" s="12"/>
      <c r="C30" s="4"/>
      <c r="D30" s="4"/>
      <c r="E30" s="491" t="s">
        <v>203</v>
      </c>
      <c r="F30" s="500"/>
      <c r="G30" s="500"/>
      <c r="H30" s="500"/>
      <c r="I30" s="500"/>
      <c r="J30" s="500"/>
      <c r="K30" s="4"/>
      <c r="L30" s="4"/>
      <c r="M30" s="4"/>
      <c r="N30" s="4"/>
      <c r="O30" s="4"/>
      <c r="P30" s="4"/>
      <c r="Q30" s="4"/>
      <c r="R30" s="12"/>
      <c r="S30" s="4"/>
      <c r="T30" s="4"/>
      <c r="U30" s="4"/>
      <c r="V30" s="4"/>
      <c r="W30" s="4"/>
      <c r="X30" s="4"/>
      <c r="Y30" s="4"/>
      <c r="Z30" s="4"/>
      <c r="AA30" s="4"/>
      <c r="AB30" s="4"/>
      <c r="AC30" s="4"/>
      <c r="AD30" s="4"/>
      <c r="AE30" s="4"/>
      <c r="AF30" s="4"/>
    </row>
    <row r="31" spans="1:32" ht="12.75">
      <c r="A31" s="4"/>
      <c r="B31" s="12"/>
      <c r="C31" s="4"/>
      <c r="D31" s="26"/>
      <c r="E31" s="4"/>
      <c r="F31" s="4"/>
      <c r="G31" s="4"/>
      <c r="H31" s="4"/>
      <c r="I31" s="4"/>
      <c r="J31" s="4"/>
      <c r="K31" s="4"/>
      <c r="L31" s="4"/>
      <c r="M31" s="4"/>
      <c r="N31" s="4"/>
      <c r="O31" s="4"/>
      <c r="P31" s="4"/>
      <c r="Q31" s="4"/>
      <c r="R31" s="12"/>
      <c r="S31" s="4"/>
      <c r="T31" s="4"/>
      <c r="U31" s="4"/>
      <c r="V31" s="4"/>
      <c r="W31" s="4"/>
      <c r="X31" s="4"/>
      <c r="Y31" s="4"/>
      <c r="Z31" s="4"/>
      <c r="AA31" s="4"/>
      <c r="AB31" s="4"/>
      <c r="AC31" s="4"/>
      <c r="AD31" s="4"/>
      <c r="AE31" s="4"/>
      <c r="AF31" s="4"/>
    </row>
    <row r="32" spans="1:32" ht="12.75">
      <c r="A32" s="4"/>
      <c r="B32" s="12"/>
      <c r="C32" s="4"/>
      <c r="D32" s="108"/>
      <c r="E32" s="491" t="s">
        <v>196</v>
      </c>
      <c r="F32" s="521"/>
      <c r="G32" s="521"/>
      <c r="H32" s="521"/>
      <c r="I32" s="521"/>
      <c r="J32" s="521"/>
      <c r="K32" s="74"/>
      <c r="L32" s="74"/>
      <c r="M32" s="74"/>
      <c r="N32" s="74"/>
      <c r="O32" s="74"/>
      <c r="P32" s="4"/>
      <c r="Q32" s="4"/>
      <c r="R32" s="12"/>
      <c r="S32" s="4"/>
      <c r="T32" s="4"/>
      <c r="U32" s="4"/>
      <c r="V32" s="4"/>
      <c r="W32" s="4"/>
      <c r="X32" s="4"/>
      <c r="Y32" s="4"/>
      <c r="Z32" s="4"/>
      <c r="AA32" s="4"/>
      <c r="AB32" s="4"/>
      <c r="AC32" s="4"/>
      <c r="AD32" s="4"/>
      <c r="AE32" s="4"/>
      <c r="AF32" s="4"/>
    </row>
    <row r="33" spans="1:32" ht="12.75">
      <c r="A33" s="4"/>
      <c r="B33" s="12"/>
      <c r="C33" s="4"/>
      <c r="D33" s="106"/>
      <c r="E33" s="386"/>
      <c r="F33" s="418"/>
      <c r="G33" s="418"/>
      <c r="H33" s="418" t="s">
        <v>199</v>
      </c>
      <c r="I33" s="418"/>
      <c r="J33" s="418" t="s">
        <v>201</v>
      </c>
      <c r="K33" s="74"/>
      <c r="L33" s="74"/>
      <c r="M33" s="74"/>
      <c r="N33" s="74"/>
      <c r="O33" s="74"/>
      <c r="P33" s="4"/>
      <c r="Q33" s="4"/>
      <c r="R33" s="12"/>
      <c r="S33" s="4"/>
      <c r="T33" s="4"/>
      <c r="U33" s="4"/>
      <c r="V33" s="4"/>
      <c r="W33" s="4"/>
      <c r="X33" s="4"/>
      <c r="Y33" s="4"/>
      <c r="Z33" s="4"/>
      <c r="AA33" s="4"/>
      <c r="AB33" s="4"/>
      <c r="AC33" s="4"/>
      <c r="AD33" s="4"/>
      <c r="AE33" s="4"/>
      <c r="AF33" s="4"/>
    </row>
    <row r="34" spans="1:32" ht="12.75">
      <c r="A34" s="4"/>
      <c r="B34" s="12"/>
      <c r="C34" s="4"/>
      <c r="D34" s="105" t="s">
        <v>197</v>
      </c>
      <c r="E34" s="386"/>
      <c r="F34" s="418" t="s">
        <v>198</v>
      </c>
      <c r="G34" s="418"/>
      <c r="H34" s="418" t="s">
        <v>200</v>
      </c>
      <c r="I34" s="418"/>
      <c r="J34" s="418" t="s">
        <v>202</v>
      </c>
      <c r="K34" s="74"/>
      <c r="L34" s="74"/>
      <c r="M34" s="74"/>
      <c r="N34" s="74"/>
      <c r="O34" s="74"/>
      <c r="P34" s="4"/>
      <c r="Q34" s="4"/>
      <c r="R34" s="12"/>
      <c r="S34" s="4"/>
      <c r="T34" s="4"/>
      <c r="U34" s="4"/>
      <c r="V34" s="4"/>
      <c r="W34" s="4"/>
      <c r="X34" s="4"/>
      <c r="Y34" s="4"/>
      <c r="Z34" s="4"/>
      <c r="AA34" s="4"/>
      <c r="AB34" s="4"/>
      <c r="AC34" s="4"/>
      <c r="AD34" s="4"/>
      <c r="AE34" s="4"/>
      <c r="AF34" s="4"/>
    </row>
    <row r="35" spans="1:32" ht="12.75">
      <c r="A35" s="4"/>
      <c r="B35" s="12"/>
      <c r="C35" s="4"/>
      <c r="D35" s="107" t="s">
        <v>411</v>
      </c>
      <c r="E35" s="386"/>
      <c r="F35" s="412">
        <f>F26</f>
        <v>53244</v>
      </c>
      <c r="G35" s="419"/>
      <c r="H35" s="79">
        <v>0.897</v>
      </c>
      <c r="I35" s="419"/>
      <c r="J35" s="412">
        <f>F35*H35</f>
        <v>47759.868</v>
      </c>
      <c r="K35" s="74"/>
      <c r="L35" s="74"/>
      <c r="M35" s="74"/>
      <c r="N35" s="74"/>
      <c r="O35" s="74"/>
      <c r="P35" s="4"/>
      <c r="Q35" s="4"/>
      <c r="R35" s="12"/>
      <c r="S35" s="4"/>
      <c r="T35" s="4"/>
      <c r="U35" s="4"/>
      <c r="V35" s="4"/>
      <c r="W35" s="4"/>
      <c r="X35" s="4"/>
      <c r="Y35" s="4"/>
      <c r="Z35" s="4"/>
      <c r="AA35" s="4"/>
      <c r="AB35" s="4"/>
      <c r="AC35" s="4"/>
      <c r="AD35" s="4"/>
      <c r="AE35" s="4"/>
      <c r="AF35" s="4"/>
    </row>
    <row r="36" spans="1:32" ht="12.75">
      <c r="A36" s="4"/>
      <c r="B36" s="12"/>
      <c r="C36" s="4"/>
      <c r="D36" s="101">
        <v>10</v>
      </c>
      <c r="E36" s="386"/>
      <c r="F36" s="412">
        <f>H26</f>
        <v>56255.448000000004</v>
      </c>
      <c r="G36" s="419"/>
      <c r="H36" s="79">
        <v>0.797</v>
      </c>
      <c r="I36" s="419"/>
      <c r="J36" s="412">
        <f>F36*H36</f>
        <v>44835.59205600001</v>
      </c>
      <c r="K36" s="74"/>
      <c r="L36" s="74"/>
      <c r="M36" s="74"/>
      <c r="N36" s="74"/>
      <c r="O36" s="74"/>
      <c r="P36" s="4"/>
      <c r="Q36" s="4"/>
      <c r="R36" s="12"/>
      <c r="S36" s="4"/>
      <c r="T36" s="4"/>
      <c r="U36" s="4"/>
      <c r="V36" s="4"/>
      <c r="W36" s="4"/>
      <c r="X36" s="4"/>
      <c r="Y36" s="4"/>
      <c r="Z36" s="4"/>
      <c r="AA36" s="4"/>
      <c r="AB36" s="4"/>
      <c r="AC36" s="4"/>
      <c r="AD36" s="4"/>
      <c r="AE36" s="4"/>
      <c r="AF36" s="4"/>
    </row>
    <row r="37" spans="1:32" ht="12.75">
      <c r="A37" s="4"/>
      <c r="B37" s="12"/>
      <c r="C37" s="4"/>
      <c r="D37" s="101">
        <v>11</v>
      </c>
      <c r="E37" s="386"/>
      <c r="F37" s="412">
        <f>J26</f>
        <v>59024.9928</v>
      </c>
      <c r="G37" s="419"/>
      <c r="H37" s="79">
        <v>0.712</v>
      </c>
      <c r="I37" s="419"/>
      <c r="J37" s="412">
        <f>F37*H37</f>
        <v>42025.794873599996</v>
      </c>
      <c r="K37" s="74"/>
      <c r="L37" s="74"/>
      <c r="M37" s="74"/>
      <c r="N37" s="74"/>
      <c r="O37" s="74"/>
      <c r="P37" s="4"/>
      <c r="Q37" s="4"/>
      <c r="R37" s="12"/>
      <c r="S37" s="4"/>
      <c r="T37" s="4"/>
      <c r="U37" s="4"/>
      <c r="V37" s="4"/>
      <c r="W37" s="4"/>
      <c r="X37" s="4"/>
      <c r="Y37" s="4"/>
      <c r="Z37" s="4"/>
      <c r="AA37" s="4"/>
      <c r="AB37" s="4"/>
      <c r="AC37" s="4"/>
      <c r="AD37" s="4"/>
      <c r="AE37" s="4"/>
      <c r="AF37" s="4"/>
    </row>
    <row r="38" spans="1:32" ht="12.75">
      <c r="A38" s="4"/>
      <c r="B38" s="12"/>
      <c r="C38" s="4"/>
      <c r="D38" s="101">
        <v>12</v>
      </c>
      <c r="E38" s="386"/>
      <c r="F38" s="412">
        <f>L26</f>
        <v>62071.49208000001</v>
      </c>
      <c r="G38" s="419"/>
      <c r="H38" s="79">
        <v>0.636</v>
      </c>
      <c r="I38" s="419"/>
      <c r="J38" s="412">
        <f>F38*H38</f>
        <v>39477.468962880004</v>
      </c>
      <c r="K38" s="74"/>
      <c r="L38" s="105" t="s">
        <v>413</v>
      </c>
      <c r="M38" s="74"/>
      <c r="N38" s="420">
        <v>1.43</v>
      </c>
      <c r="O38" s="74"/>
      <c r="P38" s="4"/>
      <c r="Q38" s="4"/>
      <c r="R38" s="12"/>
      <c r="S38" s="4"/>
      <c r="T38" s="4"/>
      <c r="U38" s="4"/>
      <c r="V38" s="4"/>
      <c r="W38" s="4"/>
      <c r="X38" s="4"/>
      <c r="Y38" s="4"/>
      <c r="Z38" s="4"/>
      <c r="AA38" s="4"/>
      <c r="AB38" s="4"/>
      <c r="AC38" s="4"/>
      <c r="AD38" s="4"/>
      <c r="AE38" s="4"/>
      <c r="AF38" s="4"/>
    </row>
    <row r="39" spans="1:32" ht="12.75">
      <c r="A39" s="4"/>
      <c r="B39" s="12"/>
      <c r="C39" s="4"/>
      <c r="D39" s="101">
        <v>13</v>
      </c>
      <c r="E39" s="386"/>
      <c r="F39" s="412">
        <f>N26</f>
        <v>65422.64128800002</v>
      </c>
      <c r="G39" s="419"/>
      <c r="H39" s="79">
        <v>0.567</v>
      </c>
      <c r="I39" s="419"/>
      <c r="J39" s="412">
        <f>F39*H39</f>
        <v>37094.637610296006</v>
      </c>
      <c r="K39" s="74"/>
      <c r="L39" s="74"/>
      <c r="M39" s="74"/>
      <c r="N39" s="386"/>
      <c r="O39" s="74"/>
      <c r="P39" s="4"/>
      <c r="Q39" s="4"/>
      <c r="R39" s="12"/>
      <c r="S39" s="4"/>
      <c r="T39" s="4"/>
      <c r="U39" s="4"/>
      <c r="V39" s="4"/>
      <c r="W39" s="4"/>
      <c r="X39" s="4"/>
      <c r="Y39" s="4"/>
      <c r="Z39" s="4"/>
      <c r="AA39" s="4"/>
      <c r="AB39" s="4"/>
      <c r="AC39" s="4"/>
      <c r="AD39" s="4"/>
      <c r="AE39" s="4"/>
      <c r="AF39" s="4"/>
    </row>
    <row r="40" spans="1:32" ht="12.75">
      <c r="A40" s="4"/>
      <c r="B40" s="12"/>
      <c r="C40" s="4"/>
      <c r="D40" s="105" t="s">
        <v>105</v>
      </c>
      <c r="E40" s="386"/>
      <c r="F40" s="412">
        <f>SUM(F35:F39)</f>
        <v>296018.5741680001</v>
      </c>
      <c r="G40" s="419"/>
      <c r="H40" s="419"/>
      <c r="I40" s="419"/>
      <c r="J40" s="412">
        <f>SUM(J35:J39)</f>
        <v>211193.36150277598</v>
      </c>
      <c r="K40" s="74"/>
      <c r="L40" s="105" t="s">
        <v>412</v>
      </c>
      <c r="M40" s="74"/>
      <c r="N40" s="412">
        <f>N38*H11</f>
        <v>286000</v>
      </c>
      <c r="O40" s="74"/>
      <c r="P40" s="4"/>
      <c r="Q40" s="4"/>
      <c r="R40" s="12"/>
      <c r="S40" s="4"/>
      <c r="T40" s="4"/>
      <c r="U40" s="4"/>
      <c r="V40" s="4"/>
      <c r="W40" s="4"/>
      <c r="X40" s="4"/>
      <c r="Y40" s="4"/>
      <c r="Z40" s="4"/>
      <c r="AA40" s="4"/>
      <c r="AB40" s="4"/>
      <c r="AC40" s="4"/>
      <c r="AD40" s="4"/>
      <c r="AE40" s="4"/>
      <c r="AF40" s="4"/>
    </row>
    <row r="41" spans="1:32" ht="12.75">
      <c r="A41" s="4"/>
      <c r="B41" s="12"/>
      <c r="C41" s="4"/>
      <c r="D41" s="74"/>
      <c r="E41" s="74"/>
      <c r="F41" s="74"/>
      <c r="G41" s="74"/>
      <c r="H41" s="74"/>
      <c r="I41" s="74"/>
      <c r="J41" s="74"/>
      <c r="K41" s="74"/>
      <c r="L41" s="74"/>
      <c r="M41" s="74"/>
      <c r="N41" s="74"/>
      <c r="O41" s="74"/>
      <c r="P41" s="4"/>
      <c r="Q41" s="4"/>
      <c r="R41" s="12"/>
      <c r="S41" s="4"/>
      <c r="T41" s="4"/>
      <c r="U41" s="4"/>
      <c r="V41" s="4"/>
      <c r="W41" s="4"/>
      <c r="X41" s="4"/>
      <c r="Y41" s="4"/>
      <c r="Z41" s="4"/>
      <c r="AA41" s="4"/>
      <c r="AB41" s="4"/>
      <c r="AC41" s="4"/>
      <c r="AD41" s="4"/>
      <c r="AE41" s="4"/>
      <c r="AF41" s="4"/>
    </row>
    <row r="42" spans="1:32" ht="12.75">
      <c r="A42" s="4"/>
      <c r="B42" s="12"/>
      <c r="C42" s="4"/>
      <c r="D42" s="4"/>
      <c r="E42" s="4"/>
      <c r="F42" s="4"/>
      <c r="G42" s="4"/>
      <c r="H42" s="4"/>
      <c r="I42" s="4"/>
      <c r="J42" s="4"/>
      <c r="K42" s="4"/>
      <c r="L42" s="4"/>
      <c r="M42" s="4"/>
      <c r="N42" s="4"/>
      <c r="O42" s="4"/>
      <c r="P42" s="4"/>
      <c r="Q42" s="4"/>
      <c r="R42" s="12"/>
      <c r="S42" s="4"/>
      <c r="T42" s="4"/>
      <c r="U42" s="4"/>
      <c r="V42" s="4"/>
      <c r="W42" s="4"/>
      <c r="X42" s="4"/>
      <c r="Y42" s="4"/>
      <c r="Z42" s="4"/>
      <c r="AA42" s="4"/>
      <c r="AB42" s="4"/>
      <c r="AC42" s="4"/>
      <c r="AD42" s="4"/>
      <c r="AE42" s="4"/>
      <c r="AF42" s="4"/>
    </row>
    <row r="43" spans="1:32" ht="12.75">
      <c r="A43" s="4"/>
      <c r="B43" s="12"/>
      <c r="C43" s="12"/>
      <c r="D43" s="12"/>
      <c r="E43" s="12"/>
      <c r="F43" s="12"/>
      <c r="G43" s="12"/>
      <c r="H43" s="12"/>
      <c r="I43" s="12"/>
      <c r="J43" s="12"/>
      <c r="K43" s="12"/>
      <c r="L43" s="12"/>
      <c r="M43" s="12"/>
      <c r="N43" s="12"/>
      <c r="O43" s="12"/>
      <c r="P43" s="12"/>
      <c r="Q43" s="12"/>
      <c r="R43" s="12"/>
      <c r="S43" s="4"/>
      <c r="T43" s="4"/>
      <c r="U43" s="4"/>
      <c r="V43" s="4"/>
      <c r="W43" s="4"/>
      <c r="X43" s="4"/>
      <c r="Y43" s="4"/>
      <c r="Z43" s="4"/>
      <c r="AA43" s="4"/>
      <c r="AB43" s="4"/>
      <c r="AC43" s="4"/>
      <c r="AD43" s="4"/>
      <c r="AE43" s="4"/>
      <c r="AF43" s="4"/>
    </row>
    <row r="44" spans="1:32"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sheetData>
  <sheetProtection password="CE3F" sheet="1" selectLockedCells="1" selectUnlockedCells="1"/>
  <mergeCells count="5">
    <mergeCell ref="F16:H16"/>
    <mergeCell ref="E30:J30"/>
    <mergeCell ref="E32:J32"/>
    <mergeCell ref="F6:J6"/>
    <mergeCell ref="D23:N23"/>
  </mergeCells>
  <printOptions/>
  <pageMargins left="0.7" right="0.7" top="0.75" bottom="0.75" header="0.3" footer="0.3"/>
  <pageSetup horizontalDpi="300" verticalDpi="300" orientation="landscape" r:id="rId3"/>
  <legacyDrawing r:id="rId2"/>
</worksheet>
</file>

<file path=xl/worksheets/sheet14.xml><?xml version="1.0" encoding="utf-8"?>
<worksheet xmlns="http://schemas.openxmlformats.org/spreadsheetml/2006/main" xmlns:r="http://schemas.openxmlformats.org/officeDocument/2006/relationships">
  <dimension ref="A1:AL136"/>
  <sheetViews>
    <sheetView zoomScalePageLayoutView="0" workbookViewId="0" topLeftCell="A1">
      <selection activeCell="B1" sqref="B1"/>
    </sheetView>
  </sheetViews>
  <sheetFormatPr defaultColWidth="9.140625" defaultRowHeight="12.75"/>
  <cols>
    <col min="1" max="1" width="3.28125" style="0" customWidth="1"/>
    <col min="2" max="2" width="3.00390625" style="0" customWidth="1"/>
    <col min="3" max="3" width="2.421875" style="0" customWidth="1"/>
    <col min="4" max="4" width="36.140625" style="0" customWidth="1"/>
    <col min="5" max="5" width="3.7109375" style="0" customWidth="1"/>
    <col min="6" max="6" width="15.57421875" style="0" customWidth="1"/>
    <col min="7" max="7" width="2.8515625" style="0" customWidth="1"/>
    <col min="8" max="8" width="13.421875" style="0" customWidth="1"/>
    <col min="9" max="9" width="2.7109375" style="0" customWidth="1"/>
    <col min="10" max="10" width="14.7109375" style="0" customWidth="1"/>
    <col min="11" max="11" width="2.140625" style="0" customWidth="1"/>
    <col min="12" max="12" width="3.00390625" style="0" customWidth="1"/>
    <col min="13" max="13" width="2.8515625" style="0" customWidth="1"/>
  </cols>
  <sheetData>
    <row r="1" spans="1:38"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ht="12.75">
      <c r="A2" s="4"/>
      <c r="B2" s="12"/>
      <c r="C2" s="12"/>
      <c r="D2" s="12"/>
      <c r="E2" s="12"/>
      <c r="F2" s="12"/>
      <c r="G2" s="12"/>
      <c r="H2" s="12"/>
      <c r="I2" s="12"/>
      <c r="J2" s="12"/>
      <c r="K2" s="12"/>
      <c r="L2" s="12"/>
      <c r="M2" s="4"/>
      <c r="N2" s="4"/>
      <c r="O2" s="4"/>
      <c r="P2" s="4"/>
      <c r="Q2" s="4"/>
      <c r="R2" s="4"/>
      <c r="S2" s="4"/>
      <c r="T2" s="4"/>
      <c r="U2" s="4"/>
      <c r="V2" s="4"/>
      <c r="W2" s="4"/>
      <c r="X2" s="4"/>
      <c r="Y2" s="4"/>
      <c r="Z2" s="4"/>
      <c r="AA2" s="4"/>
      <c r="AB2" s="4"/>
      <c r="AC2" s="4"/>
      <c r="AD2" s="4"/>
      <c r="AE2" s="4"/>
      <c r="AF2" s="4"/>
      <c r="AG2" s="4"/>
      <c r="AH2" s="4"/>
      <c r="AI2" s="4"/>
      <c r="AJ2" s="4"/>
      <c r="AK2" s="4"/>
      <c r="AL2" s="4"/>
    </row>
    <row r="3" spans="1:38" ht="12.75">
      <c r="A3" s="4"/>
      <c r="B3" s="12"/>
      <c r="C3" s="4"/>
      <c r="D3" s="93"/>
      <c r="E3" s="151"/>
      <c r="F3" s="161"/>
      <c r="G3" s="151"/>
      <c r="H3" s="4"/>
      <c r="I3" s="94"/>
      <c r="J3" s="4"/>
      <c r="K3" s="4"/>
      <c r="L3" s="12"/>
      <c r="M3" s="4"/>
      <c r="N3" s="4"/>
      <c r="O3" s="4"/>
      <c r="P3" s="4"/>
      <c r="Q3" s="4"/>
      <c r="R3" s="4"/>
      <c r="S3" s="4"/>
      <c r="T3" s="4"/>
      <c r="U3" s="4"/>
      <c r="V3" s="4"/>
      <c r="W3" s="4"/>
      <c r="X3" s="4"/>
      <c r="Y3" s="4"/>
      <c r="Z3" s="4"/>
      <c r="AA3" s="4"/>
      <c r="AB3" s="4"/>
      <c r="AC3" s="4"/>
      <c r="AD3" s="4"/>
      <c r="AE3" s="4"/>
      <c r="AF3" s="4"/>
      <c r="AG3" s="4"/>
      <c r="AH3" s="4"/>
      <c r="AI3" s="4"/>
      <c r="AJ3" s="4"/>
      <c r="AK3" s="4"/>
      <c r="AL3" s="4"/>
    </row>
    <row r="4" spans="1:38" ht="12.75">
      <c r="A4" s="4"/>
      <c r="B4" s="12"/>
      <c r="C4" s="4"/>
      <c r="D4" s="491" t="s">
        <v>476</v>
      </c>
      <c r="E4" s="526"/>
      <c r="F4" s="526"/>
      <c r="G4" s="526"/>
      <c r="H4" s="526"/>
      <c r="I4" s="526"/>
      <c r="J4" s="526"/>
      <c r="K4" s="4"/>
      <c r="L4" s="12"/>
      <c r="M4" s="94"/>
      <c r="N4" s="94"/>
      <c r="O4" s="4"/>
      <c r="P4" s="4"/>
      <c r="Q4" s="4"/>
      <c r="R4" s="4"/>
      <c r="S4" s="4"/>
      <c r="T4" s="4"/>
      <c r="U4" s="4"/>
      <c r="V4" s="4"/>
      <c r="W4" s="4"/>
      <c r="X4" s="4"/>
      <c r="Y4" s="4"/>
      <c r="Z4" s="4"/>
      <c r="AA4" s="4"/>
      <c r="AB4" s="4"/>
      <c r="AC4" s="4"/>
      <c r="AD4" s="4"/>
      <c r="AE4" s="4"/>
      <c r="AF4" s="4"/>
      <c r="AG4" s="4"/>
      <c r="AH4" s="4"/>
      <c r="AI4" s="4"/>
      <c r="AJ4" s="4"/>
      <c r="AK4" s="4"/>
      <c r="AL4" s="4"/>
    </row>
    <row r="5" spans="1:38" ht="12.75">
      <c r="A5" s="4"/>
      <c r="B5" s="12"/>
      <c r="C5" s="4"/>
      <c r="D5" s="94"/>
      <c r="E5" s="378"/>
      <c r="F5" s="378"/>
      <c r="G5" s="378"/>
      <c r="H5" s="378"/>
      <c r="I5" s="378"/>
      <c r="J5" s="378"/>
      <c r="K5" s="4"/>
      <c r="L5" s="12"/>
      <c r="M5" s="94"/>
      <c r="N5" s="94"/>
      <c r="O5" s="4"/>
      <c r="P5" s="4"/>
      <c r="Q5" s="4"/>
      <c r="R5" s="4"/>
      <c r="S5" s="4"/>
      <c r="T5" s="4"/>
      <c r="U5" s="4"/>
      <c r="V5" s="4"/>
      <c r="W5" s="4"/>
      <c r="X5" s="4"/>
      <c r="Y5" s="4"/>
      <c r="Z5" s="4"/>
      <c r="AA5" s="4"/>
      <c r="AB5" s="4"/>
      <c r="AC5" s="4"/>
      <c r="AD5" s="4"/>
      <c r="AE5" s="4"/>
      <c r="AF5" s="4"/>
      <c r="AG5" s="4"/>
      <c r="AH5" s="4"/>
      <c r="AI5" s="4"/>
      <c r="AJ5" s="4"/>
      <c r="AK5" s="4"/>
      <c r="AL5" s="4"/>
    </row>
    <row r="6" spans="1:38" ht="12.75">
      <c r="A6" s="4"/>
      <c r="B6" s="12"/>
      <c r="C6" s="4"/>
      <c r="D6" s="94"/>
      <c r="E6" s="378"/>
      <c r="F6" s="481" t="s">
        <v>63</v>
      </c>
      <c r="G6" s="482"/>
      <c r="H6" s="481" t="s">
        <v>421</v>
      </c>
      <c r="I6" s="482"/>
      <c r="J6" s="481" t="s">
        <v>105</v>
      </c>
      <c r="K6" s="4"/>
      <c r="L6" s="12"/>
      <c r="M6" s="94"/>
      <c r="N6" s="94"/>
      <c r="O6" s="4"/>
      <c r="P6" s="4"/>
      <c r="Q6" s="4"/>
      <c r="R6" s="4"/>
      <c r="S6" s="4"/>
      <c r="T6" s="4"/>
      <c r="U6" s="4"/>
      <c r="V6" s="4"/>
      <c r="W6" s="4"/>
      <c r="X6" s="4"/>
      <c r="Y6" s="4"/>
      <c r="Z6" s="4"/>
      <c r="AA6" s="4"/>
      <c r="AB6" s="4"/>
      <c r="AC6" s="4"/>
      <c r="AD6" s="4"/>
      <c r="AE6" s="4"/>
      <c r="AF6" s="4"/>
      <c r="AG6" s="4"/>
      <c r="AH6" s="4"/>
      <c r="AI6" s="4"/>
      <c r="AJ6" s="4"/>
      <c r="AK6" s="4"/>
      <c r="AL6" s="4"/>
    </row>
    <row r="7" spans="1:38" ht="12.75">
      <c r="A7" s="4"/>
      <c r="B7" s="12"/>
      <c r="C7" s="4"/>
      <c r="D7" s="94" t="s">
        <v>477</v>
      </c>
      <c r="E7" s="378"/>
      <c r="F7" s="422">
        <v>900</v>
      </c>
      <c r="G7" s="422"/>
      <c r="H7" s="422">
        <v>1495</v>
      </c>
      <c r="I7" s="422"/>
      <c r="J7" s="422"/>
      <c r="K7" s="4"/>
      <c r="L7" s="12"/>
      <c r="M7" s="94"/>
      <c r="N7" s="94"/>
      <c r="O7" s="4"/>
      <c r="P7" s="4"/>
      <c r="Q7" s="4"/>
      <c r="R7" s="4"/>
      <c r="S7" s="4"/>
      <c r="T7" s="4"/>
      <c r="U7" s="4"/>
      <c r="V7" s="4"/>
      <c r="W7" s="4"/>
      <c r="X7" s="4"/>
      <c r="Y7" s="4"/>
      <c r="Z7" s="4"/>
      <c r="AA7" s="4"/>
      <c r="AB7" s="4"/>
      <c r="AC7" s="4"/>
      <c r="AD7" s="4"/>
      <c r="AE7" s="4"/>
      <c r="AF7" s="4"/>
      <c r="AG7" s="4"/>
      <c r="AH7" s="4"/>
      <c r="AI7" s="4"/>
      <c r="AJ7" s="4"/>
      <c r="AK7" s="4"/>
      <c r="AL7" s="4"/>
    </row>
    <row r="8" spans="1:38" ht="12.75">
      <c r="A8" s="4"/>
      <c r="B8" s="12"/>
      <c r="C8" s="4"/>
      <c r="D8" s="94" t="s">
        <v>478</v>
      </c>
      <c r="E8" s="378"/>
      <c r="F8" s="422">
        <v>679</v>
      </c>
      <c r="G8" s="422"/>
      <c r="H8" s="422">
        <v>1384</v>
      </c>
      <c r="I8" s="422"/>
      <c r="J8" s="422"/>
      <c r="K8" s="4"/>
      <c r="L8" s="12"/>
      <c r="M8" s="94"/>
      <c r="N8" s="94"/>
      <c r="O8" s="4"/>
      <c r="P8" s="4"/>
      <c r="Q8" s="4"/>
      <c r="R8" s="4"/>
      <c r="S8" s="4"/>
      <c r="T8" s="4"/>
      <c r="U8" s="4"/>
      <c r="V8" s="4"/>
      <c r="W8" s="4"/>
      <c r="X8" s="4"/>
      <c r="Y8" s="4"/>
      <c r="Z8" s="4"/>
      <c r="AA8" s="4"/>
      <c r="AB8" s="4"/>
      <c r="AC8" s="4"/>
      <c r="AD8" s="4"/>
      <c r="AE8" s="4"/>
      <c r="AF8" s="4"/>
      <c r="AG8" s="4"/>
      <c r="AH8" s="4"/>
      <c r="AI8" s="4"/>
      <c r="AJ8" s="4"/>
      <c r="AK8" s="4"/>
      <c r="AL8" s="4"/>
    </row>
    <row r="9" spans="1:38" ht="12.75">
      <c r="A9" s="4"/>
      <c r="B9" s="12"/>
      <c r="C9" s="4"/>
      <c r="D9" s="94" t="s">
        <v>479</v>
      </c>
      <c r="E9" s="378"/>
      <c r="F9" s="422">
        <f>F7-F8</f>
        <v>221</v>
      </c>
      <c r="G9" s="422"/>
      <c r="H9" s="422">
        <f>H7-H8</f>
        <v>111</v>
      </c>
      <c r="I9" s="422"/>
      <c r="J9" s="422"/>
      <c r="K9" s="4"/>
      <c r="L9" s="12"/>
      <c r="M9" s="94"/>
      <c r="N9" s="94"/>
      <c r="O9" s="4"/>
      <c r="P9" s="4"/>
      <c r="Q9" s="4"/>
      <c r="R9" s="4"/>
      <c r="S9" s="4"/>
      <c r="T9" s="4"/>
      <c r="U9" s="4"/>
      <c r="V9" s="4"/>
      <c r="W9" s="4"/>
      <c r="X9" s="4"/>
      <c r="Y9" s="4"/>
      <c r="Z9" s="4"/>
      <c r="AA9" s="4"/>
      <c r="AB9" s="4"/>
      <c r="AC9" s="4"/>
      <c r="AD9" s="4"/>
      <c r="AE9" s="4"/>
      <c r="AF9" s="4"/>
      <c r="AG9" s="4"/>
      <c r="AH9" s="4"/>
      <c r="AI9" s="4"/>
      <c r="AJ9" s="4"/>
      <c r="AK9" s="4"/>
      <c r="AL9" s="4"/>
    </row>
    <row r="10" spans="1:38" ht="12.75">
      <c r="A10" s="4"/>
      <c r="B10" s="12"/>
      <c r="C10" s="4"/>
      <c r="D10" s="94" t="s">
        <v>480</v>
      </c>
      <c r="E10" s="378"/>
      <c r="F10" s="422">
        <v>900</v>
      </c>
      <c r="G10" s="422"/>
      <c r="H10" s="422">
        <v>500</v>
      </c>
      <c r="I10" s="422"/>
      <c r="J10" s="422">
        <f>F10+H10</f>
        <v>1400</v>
      </c>
      <c r="K10" s="4"/>
      <c r="L10" s="12"/>
      <c r="M10" s="94"/>
      <c r="N10" s="94"/>
      <c r="O10" s="4"/>
      <c r="P10" s="4"/>
      <c r="Q10" s="4"/>
      <c r="R10" s="4"/>
      <c r="S10" s="4"/>
      <c r="T10" s="4"/>
      <c r="U10" s="4"/>
      <c r="V10" s="4"/>
      <c r="W10" s="4"/>
      <c r="X10" s="4"/>
      <c r="Y10" s="4"/>
      <c r="Z10" s="4"/>
      <c r="AA10" s="4"/>
      <c r="AB10" s="4"/>
      <c r="AC10" s="4"/>
      <c r="AD10" s="4"/>
      <c r="AE10" s="4"/>
      <c r="AF10" s="4"/>
      <c r="AG10" s="4"/>
      <c r="AH10" s="4"/>
      <c r="AI10" s="4"/>
      <c r="AJ10" s="4"/>
      <c r="AK10" s="4"/>
      <c r="AL10" s="4"/>
    </row>
    <row r="11" spans="1:38" ht="12.75">
      <c r="A11" s="4"/>
      <c r="B11" s="12"/>
      <c r="C11" s="4"/>
      <c r="D11" s="94" t="s">
        <v>481</v>
      </c>
      <c r="E11" s="378"/>
      <c r="F11" s="422">
        <f>F10*F9</f>
        <v>198900</v>
      </c>
      <c r="G11" s="422"/>
      <c r="H11" s="422">
        <f>H10*H9</f>
        <v>55500</v>
      </c>
      <c r="I11" s="422"/>
      <c r="J11" s="422">
        <f>F11+H11</f>
        <v>254400</v>
      </c>
      <c r="K11" s="4"/>
      <c r="L11" s="12"/>
      <c r="M11" s="94"/>
      <c r="N11" s="94"/>
      <c r="O11" s="4"/>
      <c r="P11" s="4"/>
      <c r="Q11" s="4"/>
      <c r="R11" s="4"/>
      <c r="S11" s="4"/>
      <c r="T11" s="4"/>
      <c r="U11" s="4"/>
      <c r="V11" s="4"/>
      <c r="W11" s="4"/>
      <c r="X11" s="4"/>
      <c r="Y11" s="4"/>
      <c r="Z11" s="4"/>
      <c r="AA11" s="4"/>
      <c r="AB11" s="4"/>
      <c r="AC11" s="4"/>
      <c r="AD11" s="4"/>
      <c r="AE11" s="4"/>
      <c r="AF11" s="4"/>
      <c r="AG11" s="4"/>
      <c r="AH11" s="4"/>
      <c r="AI11" s="4"/>
      <c r="AJ11" s="4"/>
      <c r="AK11" s="4"/>
      <c r="AL11" s="4"/>
    </row>
    <row r="12" spans="1:38" ht="12.75">
      <c r="A12" s="4"/>
      <c r="B12" s="12"/>
      <c r="C12" s="4"/>
      <c r="D12" s="94" t="s">
        <v>482</v>
      </c>
      <c r="E12" s="378"/>
      <c r="F12" s="422"/>
      <c r="G12" s="422"/>
      <c r="H12" s="422"/>
      <c r="I12" s="422"/>
      <c r="J12" s="423">
        <f>J11/J10</f>
        <v>181.71428571428572</v>
      </c>
      <c r="K12" s="4"/>
      <c r="L12" s="12"/>
      <c r="M12" s="94"/>
      <c r="N12" s="94"/>
      <c r="O12" s="4"/>
      <c r="P12" s="4"/>
      <c r="Q12" s="4"/>
      <c r="R12" s="4"/>
      <c r="S12" s="4"/>
      <c r="T12" s="4"/>
      <c r="U12" s="4"/>
      <c r="V12" s="4"/>
      <c r="W12" s="4"/>
      <c r="X12" s="4"/>
      <c r="Y12" s="4"/>
      <c r="Z12" s="4"/>
      <c r="AA12" s="4"/>
      <c r="AB12" s="4"/>
      <c r="AC12" s="4"/>
      <c r="AD12" s="4"/>
      <c r="AE12" s="4"/>
      <c r="AF12" s="4"/>
      <c r="AG12" s="4"/>
      <c r="AH12" s="4"/>
      <c r="AI12" s="4"/>
      <c r="AJ12" s="4"/>
      <c r="AK12" s="4"/>
      <c r="AL12" s="4"/>
    </row>
    <row r="13" spans="1:38" ht="12.75">
      <c r="A13" s="4"/>
      <c r="B13" s="12"/>
      <c r="C13" s="4"/>
      <c r="D13" s="93"/>
      <c r="E13" s="151"/>
      <c r="F13" s="161"/>
      <c r="G13" s="151"/>
      <c r="H13" s="4"/>
      <c r="I13" s="94"/>
      <c r="J13" s="4"/>
      <c r="K13" s="4"/>
      <c r="L13" s="12"/>
      <c r="M13" s="94"/>
      <c r="N13" s="94"/>
      <c r="O13" s="4"/>
      <c r="P13" s="4"/>
      <c r="Q13" s="4"/>
      <c r="R13" s="4"/>
      <c r="S13" s="4"/>
      <c r="T13" s="4"/>
      <c r="U13" s="4"/>
      <c r="V13" s="4"/>
      <c r="W13" s="4"/>
      <c r="X13" s="4"/>
      <c r="Y13" s="4"/>
      <c r="Z13" s="4"/>
      <c r="AA13" s="4"/>
      <c r="AB13" s="4"/>
      <c r="AC13" s="4"/>
      <c r="AD13" s="4"/>
      <c r="AE13" s="4"/>
      <c r="AF13" s="4"/>
      <c r="AG13" s="4"/>
      <c r="AH13" s="4"/>
      <c r="AI13" s="4"/>
      <c r="AJ13" s="4"/>
      <c r="AK13" s="4"/>
      <c r="AL13" s="4"/>
    </row>
    <row r="14" spans="1:38" ht="12.75">
      <c r="A14" s="4"/>
      <c r="B14" s="12"/>
      <c r="C14" s="4"/>
      <c r="D14" s="93"/>
      <c r="E14" s="151"/>
      <c r="F14" s="161"/>
      <c r="G14" s="151"/>
      <c r="H14" s="4"/>
      <c r="I14" s="94"/>
      <c r="J14" s="4"/>
      <c r="K14" s="4"/>
      <c r="L14" s="12"/>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2.75">
      <c r="A15" s="4"/>
      <c r="B15" s="12"/>
      <c r="C15" s="4"/>
      <c r="D15" s="523" t="s">
        <v>493</v>
      </c>
      <c r="E15" s="498"/>
      <c r="F15" s="498"/>
      <c r="G15" s="498"/>
      <c r="H15" s="4"/>
      <c r="I15" s="94"/>
      <c r="J15" s="4"/>
      <c r="K15" s="4"/>
      <c r="L15" s="12"/>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2.75">
      <c r="A16" s="4"/>
      <c r="B16" s="12"/>
      <c r="C16" s="4"/>
      <c r="D16" s="498"/>
      <c r="E16" s="498"/>
      <c r="F16" s="498"/>
      <c r="G16" s="498"/>
      <c r="H16" s="382"/>
      <c r="I16" s="382"/>
      <c r="J16" s="382"/>
      <c r="K16" s="4"/>
      <c r="L16" s="12"/>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2.75">
      <c r="A17" s="4"/>
      <c r="B17" s="12"/>
      <c r="C17" s="4"/>
      <c r="D17" s="498"/>
      <c r="E17" s="498"/>
      <c r="F17" s="498"/>
      <c r="G17" s="498"/>
      <c r="H17" s="382"/>
      <c r="I17" s="382"/>
      <c r="J17" s="382"/>
      <c r="K17" s="4"/>
      <c r="L17" s="12"/>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7" ht="12.75">
      <c r="A18" s="4"/>
      <c r="B18" s="12"/>
      <c r="C18" s="4"/>
      <c r="D18" s="424" t="s">
        <v>483</v>
      </c>
      <c r="E18" s="425"/>
      <c r="F18" s="426">
        <f>400000/J12</f>
        <v>2201.2578616352203</v>
      </c>
      <c r="G18" s="4"/>
      <c r="H18" s="98"/>
      <c r="I18" s="98"/>
      <c r="J18" s="4"/>
      <c r="K18" s="4"/>
      <c r="L18" s="12"/>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ht="12.75">
      <c r="A19" s="4"/>
      <c r="B19" s="12"/>
      <c r="C19" s="4"/>
      <c r="D19" s="441"/>
      <c r="E19" s="428"/>
      <c r="F19" s="430"/>
      <c r="G19" s="98"/>
      <c r="H19" s="98"/>
      <c r="I19" s="98"/>
      <c r="J19" s="4"/>
      <c r="K19" s="4"/>
      <c r="L19" s="12"/>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12.75">
      <c r="A20" s="4"/>
      <c r="B20" s="12"/>
      <c r="C20" s="4"/>
      <c r="D20" s="4"/>
      <c r="E20" s="4"/>
      <c r="F20" s="4"/>
      <c r="G20" s="4"/>
      <c r="H20" s="4"/>
      <c r="I20" s="4"/>
      <c r="J20" s="4"/>
      <c r="K20" s="4"/>
      <c r="L20" s="12"/>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8" ht="12.75">
      <c r="A21" s="4"/>
      <c r="B21" s="12"/>
      <c r="C21" s="4"/>
      <c r="D21" s="4"/>
      <c r="E21" s="4"/>
      <c r="F21" s="4"/>
      <c r="G21" s="4"/>
      <c r="H21" s="4"/>
      <c r="I21" s="4"/>
      <c r="J21" s="4"/>
      <c r="K21" s="4"/>
      <c r="L21" s="12"/>
      <c r="M21" s="152"/>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2.75">
      <c r="A22" s="4"/>
      <c r="B22" s="12"/>
      <c r="C22" s="4"/>
      <c r="D22" s="524" t="s">
        <v>484</v>
      </c>
      <c r="E22" s="525"/>
      <c r="F22" s="525"/>
      <c r="G22" s="525"/>
      <c r="H22" s="271"/>
      <c r="I22" s="271"/>
      <c r="J22" s="271"/>
      <c r="K22" s="4"/>
      <c r="L22" s="12"/>
      <c r="M22" s="152"/>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2.75">
      <c r="A23" s="4"/>
      <c r="B23" s="12"/>
      <c r="C23" s="4"/>
      <c r="D23" s="491"/>
      <c r="E23" s="515"/>
      <c r="F23" s="515"/>
      <c r="G23" s="515"/>
      <c r="H23" s="515"/>
      <c r="I23" s="515"/>
      <c r="J23" s="515"/>
      <c r="K23" s="4"/>
      <c r="L23" s="12"/>
      <c r="M23" s="152"/>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2.75">
      <c r="A24" s="4"/>
      <c r="B24" s="12"/>
      <c r="C24" s="4"/>
      <c r="D24" s="442" t="s">
        <v>63</v>
      </c>
      <c r="E24" s="443"/>
      <c r="F24" s="433">
        <v>1415</v>
      </c>
      <c r="G24" s="4"/>
      <c r="H24" s="4"/>
      <c r="I24" s="4"/>
      <c r="J24" s="4"/>
      <c r="K24" s="4"/>
      <c r="L24" s="12"/>
      <c r="M24" s="152"/>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2.75">
      <c r="A25" s="4"/>
      <c r="B25" s="12"/>
      <c r="C25" s="4"/>
      <c r="D25" s="427" t="s">
        <v>421</v>
      </c>
      <c r="E25" s="428"/>
      <c r="F25" s="440">
        <v>786</v>
      </c>
      <c r="G25" s="4"/>
      <c r="H25" s="4"/>
      <c r="I25" s="4"/>
      <c r="J25" s="4"/>
      <c r="K25" s="4"/>
      <c r="L25" s="12"/>
      <c r="M25" s="152"/>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2.75">
      <c r="A26" s="4"/>
      <c r="B26" s="12"/>
      <c r="C26" s="4"/>
      <c r="D26" s="4"/>
      <c r="E26" s="378"/>
      <c r="F26" s="378"/>
      <c r="G26" s="378"/>
      <c r="H26" s="378"/>
      <c r="I26" s="378"/>
      <c r="J26" s="378"/>
      <c r="K26" s="4"/>
      <c r="L26" s="12"/>
      <c r="M26" s="152"/>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2.75">
      <c r="A27" s="4"/>
      <c r="B27" s="12"/>
      <c r="C27" s="4"/>
      <c r="D27" s="4"/>
      <c r="E27" s="4"/>
      <c r="F27" s="4"/>
      <c r="G27" s="4"/>
      <c r="H27" s="4"/>
      <c r="I27" s="4"/>
      <c r="J27" s="4"/>
      <c r="K27" s="4"/>
      <c r="L27" s="12"/>
      <c r="M27" s="152"/>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2.75">
      <c r="A28" s="4"/>
      <c r="B28" s="12"/>
      <c r="C28" s="4"/>
      <c r="D28" s="491" t="s">
        <v>485</v>
      </c>
      <c r="E28" s="515"/>
      <c r="F28" s="515"/>
      <c r="G28" s="515"/>
      <c r="H28" s="515"/>
      <c r="I28" s="515"/>
      <c r="J28" s="515"/>
      <c r="K28" s="4"/>
      <c r="L28" s="12"/>
      <c r="M28" s="152"/>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2.75">
      <c r="A29" s="4"/>
      <c r="B29" s="12"/>
      <c r="C29" s="4"/>
      <c r="D29" s="380"/>
      <c r="E29" s="271"/>
      <c r="F29" s="481" t="s">
        <v>491</v>
      </c>
      <c r="G29" s="482"/>
      <c r="H29" s="481" t="s">
        <v>492</v>
      </c>
      <c r="I29" s="482"/>
      <c r="J29" s="481" t="s">
        <v>105</v>
      </c>
      <c r="K29" s="4"/>
      <c r="L29" s="12"/>
      <c r="M29" s="152"/>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2.75">
      <c r="A30" s="4"/>
      <c r="B30" s="12"/>
      <c r="C30" s="4"/>
      <c r="D30" s="431" t="s">
        <v>63</v>
      </c>
      <c r="E30" s="431"/>
      <c r="F30" s="433">
        <f>F24</f>
        <v>1415</v>
      </c>
      <c r="G30" s="431"/>
      <c r="H30" s="431">
        <v>900</v>
      </c>
      <c r="I30" s="431"/>
      <c r="J30" s="434">
        <f>F30*H30</f>
        <v>1273500</v>
      </c>
      <c r="K30" s="4"/>
      <c r="L30" s="12"/>
      <c r="M30" s="152"/>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2.75">
      <c r="A31" s="4"/>
      <c r="B31" s="12"/>
      <c r="C31" s="4"/>
      <c r="D31" s="431" t="s">
        <v>421</v>
      </c>
      <c r="E31" s="431"/>
      <c r="F31" s="433">
        <f>F25</f>
        <v>786</v>
      </c>
      <c r="G31" s="431"/>
      <c r="H31" s="431">
        <v>1495</v>
      </c>
      <c r="I31" s="431"/>
      <c r="J31" s="434">
        <f>F31*H31</f>
        <v>1175070</v>
      </c>
      <c r="K31" s="4"/>
      <c r="L31" s="12"/>
      <c r="M31" s="152"/>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thickBot="1">
      <c r="A32" s="4"/>
      <c r="B32" s="12"/>
      <c r="C32" s="4"/>
      <c r="D32" s="432"/>
      <c r="E32" s="432"/>
      <c r="F32" s="432"/>
      <c r="G32" s="432"/>
      <c r="H32" s="432"/>
      <c r="I32" s="432"/>
      <c r="J32" s="439">
        <f>J30+J31</f>
        <v>2448570</v>
      </c>
      <c r="K32" s="4"/>
      <c r="L32" s="12"/>
      <c r="M32" s="152"/>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thickTop="1">
      <c r="A33" s="4"/>
      <c r="B33" s="12"/>
      <c r="C33" s="4"/>
      <c r="D33" s="4"/>
      <c r="E33" s="4"/>
      <c r="F33" s="4"/>
      <c r="G33" s="4"/>
      <c r="H33" s="4"/>
      <c r="I33" s="4"/>
      <c r="J33" s="4"/>
      <c r="K33" s="4"/>
      <c r="L33" s="12"/>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2.75">
      <c r="A34" s="4"/>
      <c r="B34" s="12"/>
      <c r="C34" s="4"/>
      <c r="D34" s="4"/>
      <c r="E34" s="4"/>
      <c r="F34" s="4"/>
      <c r="G34" s="4"/>
      <c r="H34" s="4"/>
      <c r="I34" s="4"/>
      <c r="J34" s="8"/>
      <c r="K34" s="4"/>
      <c r="L34" s="12"/>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2.75">
      <c r="A35" s="4"/>
      <c r="B35" s="12"/>
      <c r="C35" s="4"/>
      <c r="D35" s="4"/>
      <c r="E35" s="4"/>
      <c r="F35" s="4"/>
      <c r="G35" s="4"/>
      <c r="H35" s="4"/>
      <c r="I35" s="4"/>
      <c r="J35" s="8"/>
      <c r="K35" s="4"/>
      <c r="L35" s="12"/>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2.75">
      <c r="A36" s="4"/>
      <c r="B36" s="12"/>
      <c r="C36" s="4"/>
      <c r="D36" s="4"/>
      <c r="E36" s="378"/>
      <c r="F36" s="378"/>
      <c r="G36" s="378"/>
      <c r="H36" s="378"/>
      <c r="I36" s="378"/>
      <c r="J36" s="378"/>
      <c r="K36" s="4"/>
      <c r="L36" s="12"/>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2.75">
      <c r="A37" s="4"/>
      <c r="B37" s="12"/>
      <c r="C37" s="4"/>
      <c r="D37" s="93"/>
      <c r="E37" s="93"/>
      <c r="F37" s="93"/>
      <c r="G37" s="93"/>
      <c r="H37" s="93"/>
      <c r="I37" s="93"/>
      <c r="J37" s="4"/>
      <c r="K37" s="4"/>
      <c r="L37" s="12"/>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2.75">
      <c r="A38" s="4"/>
      <c r="B38" s="12"/>
      <c r="C38" s="4"/>
      <c r="D38" s="4"/>
      <c r="E38" s="4"/>
      <c r="F38" s="4"/>
      <c r="G38" s="4"/>
      <c r="H38" s="4"/>
      <c r="I38" s="4"/>
      <c r="J38" s="4"/>
      <c r="K38" s="4"/>
      <c r="L38" s="12"/>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2.75">
      <c r="A39" s="4"/>
      <c r="B39" s="12"/>
      <c r="C39" s="4"/>
      <c r="D39" s="491" t="s">
        <v>490</v>
      </c>
      <c r="E39" s="491"/>
      <c r="F39" s="491"/>
      <c r="G39" s="491"/>
      <c r="H39" s="491"/>
      <c r="I39" s="491"/>
      <c r="J39" s="491"/>
      <c r="K39" s="4"/>
      <c r="L39" s="12"/>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2.75">
      <c r="A40" s="4"/>
      <c r="B40" s="12"/>
      <c r="C40" s="4"/>
      <c r="D40" s="491" t="s">
        <v>486</v>
      </c>
      <c r="E40" s="491"/>
      <c r="F40" s="491"/>
      <c r="G40" s="491"/>
      <c r="H40" s="491"/>
      <c r="I40" s="491"/>
      <c r="J40" s="491"/>
      <c r="K40" s="4"/>
      <c r="L40" s="12"/>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2.75">
      <c r="A41" s="4"/>
      <c r="B41" s="12"/>
      <c r="C41" s="4"/>
      <c r="D41" s="94"/>
      <c r="E41" s="378"/>
      <c r="F41" s="378"/>
      <c r="G41" s="378"/>
      <c r="H41" s="378"/>
      <c r="I41" s="378"/>
      <c r="J41" s="378"/>
      <c r="K41" s="4"/>
      <c r="L41" s="12"/>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2.75">
      <c r="A42" s="4"/>
      <c r="B42" s="12"/>
      <c r="C42" s="4"/>
      <c r="D42" s="94"/>
      <c r="E42" s="378"/>
      <c r="F42" s="481" t="s">
        <v>63</v>
      </c>
      <c r="G42" s="482"/>
      <c r="H42" s="481" t="s">
        <v>421</v>
      </c>
      <c r="I42" s="482"/>
      <c r="J42" s="481" t="s">
        <v>105</v>
      </c>
      <c r="K42" s="4"/>
      <c r="L42" s="12"/>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2.75">
      <c r="A43" s="4"/>
      <c r="B43" s="12"/>
      <c r="C43" s="4"/>
      <c r="D43" s="94" t="s">
        <v>477</v>
      </c>
      <c r="E43" s="378"/>
      <c r="F43" s="421">
        <v>900</v>
      </c>
      <c r="G43" s="421"/>
      <c r="H43" s="421">
        <v>1495</v>
      </c>
      <c r="I43" s="421"/>
      <c r="J43" s="421"/>
      <c r="K43" s="4"/>
      <c r="L43" s="12"/>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2.75">
      <c r="A44" s="4"/>
      <c r="B44" s="12"/>
      <c r="C44" s="4"/>
      <c r="D44" s="94" t="s">
        <v>478</v>
      </c>
      <c r="E44" s="378"/>
      <c r="F44" s="435">
        <v>709.3</v>
      </c>
      <c r="G44" s="421"/>
      <c r="H44" s="421">
        <v>1451</v>
      </c>
      <c r="I44" s="421"/>
      <c r="J44" s="421"/>
      <c r="K44" s="4"/>
      <c r="L44" s="12"/>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2.75">
      <c r="A45" s="4"/>
      <c r="B45" s="12"/>
      <c r="C45" s="4"/>
      <c r="D45" s="94" t="s">
        <v>479</v>
      </c>
      <c r="E45" s="378"/>
      <c r="F45" s="421">
        <f>F43-F44</f>
        <v>190.70000000000005</v>
      </c>
      <c r="G45" s="421"/>
      <c r="H45" s="421">
        <f>H43-H44</f>
        <v>44</v>
      </c>
      <c r="I45" s="421"/>
      <c r="J45" s="421"/>
      <c r="K45" s="4"/>
      <c r="L45" s="12"/>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12.75">
      <c r="A46" s="4"/>
      <c r="B46" s="12"/>
      <c r="C46" s="4"/>
      <c r="D46" s="94" t="s">
        <v>480</v>
      </c>
      <c r="E46" s="378"/>
      <c r="F46" s="421">
        <v>900</v>
      </c>
      <c r="G46" s="421"/>
      <c r="H46" s="421">
        <v>500</v>
      </c>
      <c r="I46" s="421"/>
      <c r="J46" s="421">
        <f>F46+H46</f>
        <v>1400</v>
      </c>
      <c r="K46" s="4"/>
      <c r="L46" s="12"/>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12.75">
      <c r="A47" s="4"/>
      <c r="B47" s="12"/>
      <c r="C47" s="4"/>
      <c r="D47" s="94" t="s">
        <v>481</v>
      </c>
      <c r="E47" s="378"/>
      <c r="F47" s="421">
        <f>F46*F45</f>
        <v>171630.00000000003</v>
      </c>
      <c r="G47" s="421"/>
      <c r="H47" s="421">
        <f>H46*H45</f>
        <v>22000</v>
      </c>
      <c r="I47" s="421"/>
      <c r="J47" s="421">
        <f>F47+H47</f>
        <v>193630.00000000003</v>
      </c>
      <c r="K47" s="4"/>
      <c r="L47" s="12"/>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ht="12.75">
      <c r="A48" s="4"/>
      <c r="B48" s="12"/>
      <c r="C48" s="4"/>
      <c r="D48" s="94" t="s">
        <v>482</v>
      </c>
      <c r="E48" s="378"/>
      <c r="F48" s="421"/>
      <c r="G48" s="421"/>
      <c r="H48" s="421"/>
      <c r="I48" s="421"/>
      <c r="J48" s="421">
        <f>J47/J46</f>
        <v>138.30714285714288</v>
      </c>
      <c r="K48" s="4"/>
      <c r="L48" s="12"/>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ht="12.75">
      <c r="A49" s="4"/>
      <c r="B49" s="12"/>
      <c r="C49" s="4"/>
      <c r="D49" s="4"/>
      <c r="E49" s="4"/>
      <c r="F49" s="4"/>
      <c r="G49" s="4"/>
      <c r="H49" s="4"/>
      <c r="I49" s="4"/>
      <c r="J49" s="4"/>
      <c r="K49" s="4"/>
      <c r="L49" s="12"/>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12.75">
      <c r="A50" s="4"/>
      <c r="B50" s="12"/>
      <c r="C50" s="4"/>
      <c r="D50" s="4"/>
      <c r="E50" s="4"/>
      <c r="F50" s="4"/>
      <c r="G50" s="4"/>
      <c r="H50" s="4"/>
      <c r="I50" s="4"/>
      <c r="J50" s="4"/>
      <c r="K50" s="4"/>
      <c r="L50" s="12"/>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ht="12.75">
      <c r="A51" s="4"/>
      <c r="B51" s="12"/>
      <c r="C51" s="4"/>
      <c r="D51" s="491" t="s">
        <v>487</v>
      </c>
      <c r="E51" s="515"/>
      <c r="F51" s="515"/>
      <c r="G51" s="515"/>
      <c r="H51" s="515"/>
      <c r="I51" s="515"/>
      <c r="J51" s="515"/>
      <c r="K51" s="4"/>
      <c r="L51" s="12"/>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ht="12.75">
      <c r="A52" s="4"/>
      <c r="B52" s="12"/>
      <c r="C52" s="4"/>
      <c r="D52" s="424" t="s">
        <v>483</v>
      </c>
      <c r="E52" s="425"/>
      <c r="F52" s="426">
        <v>3254</v>
      </c>
      <c r="G52" s="436"/>
      <c r="H52" s="436"/>
      <c r="I52" s="436"/>
      <c r="J52" s="436"/>
      <c r="K52" s="4"/>
      <c r="L52" s="12"/>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ht="12.75">
      <c r="A53" s="4"/>
      <c r="B53" s="12"/>
      <c r="C53" s="4"/>
      <c r="D53" s="441"/>
      <c r="E53" s="428"/>
      <c r="F53" s="430"/>
      <c r="G53" s="436"/>
      <c r="H53" s="436"/>
      <c r="I53" s="436"/>
      <c r="J53" s="436"/>
      <c r="K53" s="4"/>
      <c r="L53" s="12"/>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ht="12.75">
      <c r="A54" s="4"/>
      <c r="B54" s="12"/>
      <c r="C54" s="4"/>
      <c r="D54" s="4"/>
      <c r="E54" s="4"/>
      <c r="F54" s="4"/>
      <c r="G54" s="4"/>
      <c r="H54" s="4"/>
      <c r="I54" s="4"/>
      <c r="J54" s="4"/>
      <c r="K54" s="4"/>
      <c r="L54" s="12"/>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12.75">
      <c r="A55" s="4"/>
      <c r="B55" s="12"/>
      <c r="C55" s="4"/>
      <c r="D55" s="4"/>
      <c r="E55" s="4"/>
      <c r="F55" s="4"/>
      <c r="G55" s="4"/>
      <c r="H55" s="4"/>
      <c r="I55" s="4"/>
      <c r="J55" s="4"/>
      <c r="K55" s="4"/>
      <c r="L55" s="12"/>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ht="12.75">
      <c r="A56" s="4"/>
      <c r="B56" s="12"/>
      <c r="C56" s="4"/>
      <c r="D56" s="491" t="s">
        <v>488</v>
      </c>
      <c r="E56" s="515"/>
      <c r="F56" s="515"/>
      <c r="G56" s="515"/>
      <c r="H56" s="515"/>
      <c r="I56" s="515"/>
      <c r="J56" s="515"/>
      <c r="K56" s="4"/>
      <c r="L56" s="12"/>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ht="12.75" customHeight="1">
      <c r="A57" s="4"/>
      <c r="B57" s="12"/>
      <c r="C57" s="4"/>
      <c r="D57" s="491"/>
      <c r="E57" s="515"/>
      <c r="F57" s="515"/>
      <c r="G57" s="515"/>
      <c r="H57" s="515"/>
      <c r="I57" s="515"/>
      <c r="J57" s="515"/>
      <c r="K57" s="4"/>
      <c r="L57" s="12"/>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ht="12.75">
      <c r="A58" s="4"/>
      <c r="B58" s="12"/>
      <c r="C58" s="4"/>
      <c r="D58" s="424" t="s">
        <v>63</v>
      </c>
      <c r="E58" s="425"/>
      <c r="F58" s="426">
        <v>2092</v>
      </c>
      <c r="G58" s="4"/>
      <c r="H58" s="4"/>
      <c r="I58" s="4"/>
      <c r="J58" s="4"/>
      <c r="K58" s="4"/>
      <c r="L58" s="12"/>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ht="12.75">
      <c r="A59" s="4"/>
      <c r="B59" s="12"/>
      <c r="C59" s="4"/>
      <c r="D59" s="427" t="s">
        <v>421</v>
      </c>
      <c r="E59" s="428"/>
      <c r="F59" s="429">
        <v>1162</v>
      </c>
      <c r="G59" s="4"/>
      <c r="H59" s="4"/>
      <c r="I59" s="4"/>
      <c r="J59" s="4"/>
      <c r="K59" s="4"/>
      <c r="L59" s="12"/>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ht="12.75">
      <c r="A60" s="4"/>
      <c r="B60" s="12"/>
      <c r="C60" s="4"/>
      <c r="D60" s="4"/>
      <c r="E60" s="378"/>
      <c r="F60" s="378"/>
      <c r="G60" s="378"/>
      <c r="H60" s="378"/>
      <c r="I60" s="378"/>
      <c r="J60" s="378"/>
      <c r="K60" s="4"/>
      <c r="L60" s="12"/>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ht="12.75">
      <c r="A61" s="4"/>
      <c r="B61" s="12"/>
      <c r="C61" s="4"/>
      <c r="D61" s="4"/>
      <c r="E61" s="4"/>
      <c r="F61" s="4"/>
      <c r="G61" s="4"/>
      <c r="H61" s="4"/>
      <c r="I61" s="4"/>
      <c r="J61" s="4"/>
      <c r="K61" s="4"/>
      <c r="L61" s="12"/>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12.75">
      <c r="A62" s="4"/>
      <c r="B62" s="12"/>
      <c r="C62" s="4"/>
      <c r="D62" s="491" t="s">
        <v>489</v>
      </c>
      <c r="E62" s="515"/>
      <c r="F62" s="515"/>
      <c r="G62" s="515"/>
      <c r="H62" s="515"/>
      <c r="I62" s="515"/>
      <c r="J62" s="515"/>
      <c r="K62" s="4"/>
      <c r="L62" s="12"/>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12.75">
      <c r="A63" s="4"/>
      <c r="B63" s="12"/>
      <c r="C63" s="4"/>
      <c r="D63" s="491"/>
      <c r="E63" s="515"/>
      <c r="F63" s="515"/>
      <c r="G63" s="515"/>
      <c r="H63" s="515"/>
      <c r="I63" s="515"/>
      <c r="J63" s="515"/>
      <c r="K63" s="4"/>
      <c r="L63" s="12"/>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ht="12.75">
      <c r="A64" s="4"/>
      <c r="B64" s="12"/>
      <c r="C64" s="4"/>
      <c r="D64" s="431" t="s">
        <v>63</v>
      </c>
      <c r="E64" s="431"/>
      <c r="F64" s="433">
        <f>F58</f>
        <v>2092</v>
      </c>
      <c r="G64" s="437"/>
      <c r="H64" s="431">
        <v>900</v>
      </c>
      <c r="I64" s="436"/>
      <c r="J64" s="434">
        <f>F64*H64</f>
        <v>1882800</v>
      </c>
      <c r="K64" s="4"/>
      <c r="L64" s="12"/>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ht="12.75">
      <c r="A65" s="4"/>
      <c r="B65" s="12"/>
      <c r="C65" s="4"/>
      <c r="D65" s="431" t="s">
        <v>421</v>
      </c>
      <c r="E65" s="431"/>
      <c r="F65" s="433">
        <f>F59</f>
        <v>1162</v>
      </c>
      <c r="G65" s="438"/>
      <c r="H65" s="431">
        <v>1495</v>
      </c>
      <c r="I65" s="438"/>
      <c r="J65" s="434">
        <f>F65*H65</f>
        <v>1737190</v>
      </c>
      <c r="K65" s="4"/>
      <c r="L65" s="12"/>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13.5" thickBot="1">
      <c r="A66" s="4"/>
      <c r="B66" s="12"/>
      <c r="C66" s="4"/>
      <c r="D66" s="432"/>
      <c r="E66" s="432"/>
      <c r="F66" s="432"/>
      <c r="G66" s="383"/>
      <c r="H66" s="432"/>
      <c r="I66" s="383"/>
      <c r="J66" s="439">
        <f>J64+J65</f>
        <v>3619990</v>
      </c>
      <c r="K66" s="4"/>
      <c r="L66" s="12"/>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ht="13.5" thickTop="1">
      <c r="A67" s="4"/>
      <c r="B67" s="12"/>
      <c r="C67" s="4"/>
      <c r="D67" s="4"/>
      <c r="E67" s="4"/>
      <c r="F67" s="4"/>
      <c r="G67" s="4"/>
      <c r="H67" s="4"/>
      <c r="I67" s="4"/>
      <c r="J67" s="4"/>
      <c r="K67" s="4"/>
      <c r="L67" s="12"/>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12.75">
      <c r="A68" s="4"/>
      <c r="B68" s="12"/>
      <c r="C68" s="12"/>
      <c r="D68" s="12"/>
      <c r="E68" s="12"/>
      <c r="F68" s="12"/>
      <c r="G68" s="12"/>
      <c r="H68" s="12"/>
      <c r="I68" s="12"/>
      <c r="J68" s="12"/>
      <c r="K68" s="12"/>
      <c r="L68" s="12"/>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row>
    <row r="72" spans="1:38"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row>
    <row r="80" spans="1:38"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row>
    <row r="81" spans="1:38"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row>
    <row r="84" spans="1:38" ht="12.75">
      <c r="A84" s="4"/>
      <c r="B84" s="4"/>
      <c r="C84" s="4"/>
      <c r="D84" s="7"/>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row>
    <row r="85" spans="1:38"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row>
    <row r="88" spans="1:38"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row>
    <row r="95" spans="1:38"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12.7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12.7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12.7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12.7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12.7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ht="12.7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12.7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12.7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12.7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12.7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12.7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12.7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row>
  </sheetData>
  <sheetProtection password="CE3F" sheet="1" selectLockedCells="1" selectUnlockedCells="1"/>
  <mergeCells count="12">
    <mergeCell ref="D4:J4"/>
    <mergeCell ref="D23:J23"/>
    <mergeCell ref="D28:J28"/>
    <mergeCell ref="D40:J40"/>
    <mergeCell ref="D51:J51"/>
    <mergeCell ref="D57:J57"/>
    <mergeCell ref="D62:J62"/>
    <mergeCell ref="D39:J39"/>
    <mergeCell ref="D56:J56"/>
    <mergeCell ref="D15:G17"/>
    <mergeCell ref="D22:G22"/>
    <mergeCell ref="D63:J63"/>
  </mergeCells>
  <printOptions/>
  <pageMargins left="0.7" right="0.7" top="0.75" bottom="0.75" header="0.3" footer="0.3"/>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U76"/>
  <sheetViews>
    <sheetView zoomScalePageLayoutView="0" workbookViewId="0" topLeftCell="A1">
      <selection activeCell="A1" sqref="A1"/>
    </sheetView>
  </sheetViews>
  <sheetFormatPr defaultColWidth="9.140625" defaultRowHeight="12.75"/>
  <cols>
    <col min="1" max="1" width="2.57421875" style="0" customWidth="1"/>
    <col min="2" max="2" width="2.421875" style="0" customWidth="1"/>
    <col min="3" max="3" width="2.140625" style="0" customWidth="1"/>
    <col min="4" max="4" width="13.421875" style="0" customWidth="1"/>
    <col min="5" max="5" width="10.28125" style="0" customWidth="1"/>
    <col min="6" max="6" width="16.28125" style="0" customWidth="1"/>
    <col min="7" max="7" width="9.8515625" style="0" customWidth="1"/>
    <col min="8" max="8" width="10.140625" style="0" customWidth="1"/>
    <col min="9" max="9" width="11.57421875" style="0" customWidth="1"/>
    <col min="10" max="10" width="10.421875" style="0" customWidth="1"/>
    <col min="11" max="11" width="11.421875" style="0" bestFit="1" customWidth="1"/>
    <col min="12" max="12" width="11.00390625" style="0" customWidth="1"/>
    <col min="13" max="13" width="10.7109375" style="0" customWidth="1"/>
    <col min="14" max="14" width="3.00390625" style="0" customWidth="1"/>
    <col min="15" max="15" width="3.140625" style="0" customWidth="1"/>
    <col min="16" max="16" width="3.421875" style="0" customWidth="1"/>
  </cols>
  <sheetData>
    <row r="1" spans="1:21" ht="12.75">
      <c r="A1" s="70"/>
      <c r="B1" s="70"/>
      <c r="C1" s="70"/>
      <c r="D1" s="106" t="s">
        <v>293</v>
      </c>
      <c r="E1" s="94">
        <v>900</v>
      </c>
      <c r="F1" s="70"/>
      <c r="G1" s="70"/>
      <c r="H1" s="70"/>
      <c r="I1" s="70"/>
      <c r="J1" s="70"/>
      <c r="K1" s="70"/>
      <c r="L1" s="70"/>
      <c r="M1" s="70"/>
      <c r="N1" s="70"/>
      <c r="O1" s="70"/>
      <c r="P1" s="70"/>
      <c r="Q1" s="70"/>
      <c r="R1" s="70"/>
      <c r="S1" s="70"/>
      <c r="T1" s="70"/>
      <c r="U1" s="70"/>
    </row>
    <row r="2" spans="1:21" ht="12.75">
      <c r="A2" s="70"/>
      <c r="B2" s="70"/>
      <c r="C2" s="70"/>
      <c r="D2" s="106" t="s">
        <v>294</v>
      </c>
      <c r="E2" s="172">
        <v>500</v>
      </c>
      <c r="F2" s="70"/>
      <c r="G2" s="70"/>
      <c r="H2" s="70"/>
      <c r="I2" s="70"/>
      <c r="J2" s="70"/>
      <c r="K2" s="70"/>
      <c r="L2" s="70"/>
      <c r="M2" s="70"/>
      <c r="N2" s="70"/>
      <c r="O2" s="70"/>
      <c r="P2" s="70"/>
      <c r="Q2" s="70"/>
      <c r="R2" s="70"/>
      <c r="S2" s="70"/>
      <c r="T2" s="70"/>
      <c r="U2" s="70"/>
    </row>
    <row r="3" spans="1:21" ht="12.75">
      <c r="A3" s="70"/>
      <c r="B3" s="70"/>
      <c r="C3" s="70"/>
      <c r="D3" s="70"/>
      <c r="E3" s="70"/>
      <c r="F3" s="70"/>
      <c r="G3" s="70"/>
      <c r="H3" s="70"/>
      <c r="I3" s="70"/>
      <c r="J3" s="70"/>
      <c r="K3" s="70"/>
      <c r="L3" s="70"/>
      <c r="M3" s="70"/>
      <c r="N3" s="70"/>
      <c r="O3" s="70"/>
      <c r="P3" s="70"/>
      <c r="Q3" s="70"/>
      <c r="R3" s="70"/>
      <c r="S3" s="70"/>
      <c r="T3" s="70"/>
      <c r="U3" s="70"/>
    </row>
    <row r="4" spans="1:21" ht="12.75">
      <c r="A4" s="70"/>
      <c r="B4" s="70"/>
      <c r="C4" s="70"/>
      <c r="D4" s="70"/>
      <c r="E4" s="70"/>
      <c r="F4" s="70"/>
      <c r="G4" s="70"/>
      <c r="H4" s="70"/>
      <c r="I4" s="70"/>
      <c r="J4" s="70"/>
      <c r="K4" s="70"/>
      <c r="L4" s="70"/>
      <c r="M4" s="70"/>
      <c r="N4" s="70"/>
      <c r="O4" s="70"/>
      <c r="P4" s="70"/>
      <c r="Q4" s="70"/>
      <c r="R4" s="70"/>
      <c r="S4" s="70"/>
      <c r="T4" s="70"/>
      <c r="U4" s="70"/>
    </row>
    <row r="5" spans="1:21" ht="12.75">
      <c r="A5" s="70"/>
      <c r="B5" s="12"/>
      <c r="C5" s="12"/>
      <c r="D5" s="12"/>
      <c r="E5" s="12"/>
      <c r="F5" s="12"/>
      <c r="G5" s="12"/>
      <c r="H5" s="12"/>
      <c r="I5" s="12"/>
      <c r="J5" s="12"/>
      <c r="K5" s="12"/>
      <c r="L5" s="12"/>
      <c r="M5" s="12"/>
      <c r="N5" s="12"/>
      <c r="O5" s="12"/>
      <c r="P5" s="70"/>
      <c r="Q5" s="70"/>
      <c r="R5" s="70"/>
      <c r="S5" s="70"/>
      <c r="T5" s="70"/>
      <c r="U5" s="70"/>
    </row>
    <row r="6" spans="1:21" ht="12.75">
      <c r="A6" s="70"/>
      <c r="B6" s="12"/>
      <c r="C6" s="70"/>
      <c r="D6" s="70"/>
      <c r="E6" s="70"/>
      <c r="F6" s="70"/>
      <c r="G6" s="70"/>
      <c r="H6" s="70"/>
      <c r="I6" s="70"/>
      <c r="J6" s="70"/>
      <c r="K6" s="70"/>
      <c r="L6" s="70"/>
      <c r="M6" s="70"/>
      <c r="N6" s="70"/>
      <c r="O6" s="12"/>
      <c r="P6" s="70"/>
      <c r="Q6" s="70"/>
      <c r="R6" s="70"/>
      <c r="S6" s="70"/>
      <c r="T6" s="70"/>
      <c r="U6" s="70"/>
    </row>
    <row r="7" spans="1:21" ht="12.75">
      <c r="A7" s="70"/>
      <c r="B7" s="12"/>
      <c r="C7" s="70"/>
      <c r="D7" s="70"/>
      <c r="E7" s="70"/>
      <c r="F7" s="527" t="s">
        <v>470</v>
      </c>
      <c r="G7" s="527"/>
      <c r="H7" s="527"/>
      <c r="I7" s="527"/>
      <c r="J7" s="527"/>
      <c r="K7" s="527"/>
      <c r="L7" s="70"/>
      <c r="M7" s="70"/>
      <c r="N7" s="70"/>
      <c r="O7" s="12"/>
      <c r="P7" s="70"/>
      <c r="Q7" s="70"/>
      <c r="R7" s="70"/>
      <c r="S7" s="70"/>
      <c r="T7" s="70"/>
      <c r="U7" s="70"/>
    </row>
    <row r="8" spans="1:21" ht="12.75">
      <c r="A8" s="70"/>
      <c r="B8" s="12"/>
      <c r="C8" s="70"/>
      <c r="D8" s="70"/>
      <c r="E8" s="70"/>
      <c r="F8" s="528" t="s">
        <v>298</v>
      </c>
      <c r="G8" s="528"/>
      <c r="H8" s="528"/>
      <c r="I8" s="528"/>
      <c r="J8" s="528"/>
      <c r="K8" s="528"/>
      <c r="L8" s="70"/>
      <c r="M8" s="70"/>
      <c r="N8" s="70"/>
      <c r="O8" s="12"/>
      <c r="P8" s="70"/>
      <c r="Q8" s="70"/>
      <c r="R8" s="70"/>
      <c r="S8" s="70"/>
      <c r="T8" s="70"/>
      <c r="U8" s="70"/>
    </row>
    <row r="9" spans="1:21" ht="12.75">
      <c r="A9" s="70"/>
      <c r="B9" s="12"/>
      <c r="C9" s="70"/>
      <c r="D9" s="70"/>
      <c r="E9" s="70"/>
      <c r="F9" s="173"/>
      <c r="G9" s="173"/>
      <c r="H9" s="173"/>
      <c r="I9" s="173"/>
      <c r="J9" s="173"/>
      <c r="K9" s="173"/>
      <c r="L9" s="70"/>
      <c r="M9" s="70"/>
      <c r="N9" s="70"/>
      <c r="O9" s="12"/>
      <c r="P9" s="70"/>
      <c r="Q9" s="70"/>
      <c r="R9" s="70"/>
      <c r="S9" s="70"/>
      <c r="T9" s="70"/>
      <c r="U9" s="70"/>
    </row>
    <row r="10" spans="1:21" ht="12.75">
      <c r="A10" s="70"/>
      <c r="B10" s="12"/>
      <c r="C10" s="70"/>
      <c r="D10" s="70"/>
      <c r="E10" s="70"/>
      <c r="F10" s="70"/>
      <c r="G10" s="70"/>
      <c r="H10" s="70"/>
      <c r="I10" s="70"/>
      <c r="J10" s="70"/>
      <c r="K10" s="70"/>
      <c r="L10" s="70"/>
      <c r="M10" s="70"/>
      <c r="N10" s="70"/>
      <c r="O10" s="12"/>
      <c r="P10" s="70"/>
      <c r="Q10" s="70"/>
      <c r="R10" s="70"/>
      <c r="S10" s="70"/>
      <c r="T10" s="70"/>
      <c r="U10" s="70"/>
    </row>
    <row r="11" spans="1:21" ht="51">
      <c r="A11" s="70"/>
      <c r="B11" s="12"/>
      <c r="C11" s="70"/>
      <c r="D11" s="75" t="s">
        <v>146</v>
      </c>
      <c r="E11" s="75" t="s">
        <v>150</v>
      </c>
      <c r="F11" s="75" t="s">
        <v>151</v>
      </c>
      <c r="G11" s="75" t="s">
        <v>152</v>
      </c>
      <c r="H11" s="75" t="s">
        <v>153</v>
      </c>
      <c r="I11" s="75" t="s">
        <v>154</v>
      </c>
      <c r="J11" s="76" t="s">
        <v>155</v>
      </c>
      <c r="K11" s="75" t="s">
        <v>156</v>
      </c>
      <c r="L11" s="75" t="s">
        <v>158</v>
      </c>
      <c r="M11" s="75" t="s">
        <v>157</v>
      </c>
      <c r="N11" s="70"/>
      <c r="O11" s="12"/>
      <c r="P11" s="70"/>
      <c r="Q11" s="70"/>
      <c r="R11" s="70"/>
      <c r="S11" s="70"/>
      <c r="T11" s="70"/>
      <c r="U11" s="70"/>
    </row>
    <row r="12" spans="1:21" ht="12.75">
      <c r="A12" s="70"/>
      <c r="B12" s="12"/>
      <c r="C12" s="70"/>
      <c r="D12" s="77" t="s">
        <v>217</v>
      </c>
      <c r="E12" s="126">
        <v>33400</v>
      </c>
      <c r="F12" s="72" t="s">
        <v>160</v>
      </c>
      <c r="G12" s="174">
        <v>545</v>
      </c>
      <c r="H12" s="444">
        <f>E12/G12</f>
        <v>61.28440366972477</v>
      </c>
      <c r="I12" s="422" t="s">
        <v>63</v>
      </c>
      <c r="J12" s="79">
        <v>45</v>
      </c>
      <c r="K12" s="445">
        <f>H12*J12</f>
        <v>2757.7981651376144</v>
      </c>
      <c r="L12" s="446">
        <v>900</v>
      </c>
      <c r="M12" s="447">
        <f>K12/L12</f>
        <v>3.0642201834862384</v>
      </c>
      <c r="N12" s="70"/>
      <c r="O12" s="12"/>
      <c r="P12" s="70"/>
      <c r="Q12" s="70"/>
      <c r="R12" s="70"/>
      <c r="S12" s="70"/>
      <c r="T12" s="70"/>
      <c r="U12" s="70"/>
    </row>
    <row r="13" spans="1:21" ht="12.75">
      <c r="A13" s="70"/>
      <c r="B13" s="12"/>
      <c r="C13" s="70"/>
      <c r="D13" s="77" t="s">
        <v>160</v>
      </c>
      <c r="E13" s="126"/>
      <c r="F13" s="72"/>
      <c r="G13" s="174" t="s">
        <v>2</v>
      </c>
      <c r="H13" s="73"/>
      <c r="I13" s="72" t="s">
        <v>207</v>
      </c>
      <c r="J13" s="176">
        <v>500</v>
      </c>
      <c r="K13" s="177">
        <f>H12*J13</f>
        <v>30642.201834862382</v>
      </c>
      <c r="L13" s="174">
        <v>500</v>
      </c>
      <c r="M13" s="178">
        <f>K13/L13</f>
        <v>61.28440366972477</v>
      </c>
      <c r="N13" s="78"/>
      <c r="O13" s="12"/>
      <c r="P13" s="70"/>
      <c r="Q13" s="70"/>
      <c r="R13" s="70"/>
      <c r="S13" s="70"/>
      <c r="T13" s="70"/>
      <c r="U13" s="70"/>
    </row>
    <row r="14" spans="1:21" ht="12.75">
      <c r="A14" s="70"/>
      <c r="B14" s="12"/>
      <c r="C14" s="70"/>
      <c r="D14" s="77"/>
      <c r="E14" s="126"/>
      <c r="F14" s="72"/>
      <c r="G14" s="73"/>
      <c r="H14" s="73"/>
      <c r="I14" s="72"/>
      <c r="J14" s="71"/>
      <c r="K14" s="73"/>
      <c r="L14" s="73"/>
      <c r="M14" s="73"/>
      <c r="N14" s="70"/>
      <c r="O14" s="12"/>
      <c r="P14" s="70"/>
      <c r="Q14" s="70"/>
      <c r="R14" s="70"/>
      <c r="S14" s="70"/>
      <c r="T14" s="70"/>
      <c r="U14" s="70"/>
    </row>
    <row r="15" spans="1:21" ht="12.75">
      <c r="A15" s="70"/>
      <c r="B15" s="12"/>
      <c r="C15" s="70"/>
      <c r="D15" s="80"/>
      <c r="E15" s="127"/>
      <c r="F15" s="83"/>
      <c r="G15" s="81"/>
      <c r="H15" s="81"/>
      <c r="I15" s="83"/>
      <c r="J15" s="82"/>
      <c r="K15" s="81"/>
      <c r="L15" s="81"/>
      <c r="M15" s="81"/>
      <c r="N15" s="70"/>
      <c r="O15" s="12"/>
      <c r="P15" s="70"/>
      <c r="Q15" s="70"/>
      <c r="R15" s="70"/>
      <c r="S15" s="70"/>
      <c r="T15" s="70"/>
      <c r="U15" s="70"/>
    </row>
    <row r="16" spans="1:21" ht="12.75">
      <c r="A16" s="70"/>
      <c r="B16" s="12"/>
      <c r="C16" s="70"/>
      <c r="D16" s="77" t="s">
        <v>162</v>
      </c>
      <c r="E16" s="126">
        <v>119000</v>
      </c>
      <c r="F16" s="72" t="s">
        <v>216</v>
      </c>
      <c r="G16" s="174">
        <v>509</v>
      </c>
      <c r="H16" s="175">
        <f>E16/G16</f>
        <v>233.79174852652258</v>
      </c>
      <c r="I16" s="72" t="s">
        <v>63</v>
      </c>
      <c r="J16" s="71">
        <v>9</v>
      </c>
      <c r="K16" s="177">
        <f>(J16)*H16</f>
        <v>2104.1257367387034</v>
      </c>
      <c r="L16" s="73">
        <v>900</v>
      </c>
      <c r="M16" s="178">
        <f>K16/L16</f>
        <v>2.337917485265226</v>
      </c>
      <c r="N16" s="70"/>
      <c r="O16" s="12"/>
      <c r="P16" s="70"/>
      <c r="Q16" s="70"/>
      <c r="R16" s="70"/>
      <c r="S16" s="70"/>
      <c r="T16" s="70"/>
      <c r="U16" s="70"/>
    </row>
    <row r="17" spans="1:21" ht="12.75">
      <c r="A17" s="70"/>
      <c r="B17" s="12"/>
      <c r="C17" s="70"/>
      <c r="D17" s="77" t="s">
        <v>161</v>
      </c>
      <c r="E17" s="126"/>
      <c r="F17" s="72"/>
      <c r="G17" s="174" t="s">
        <v>2</v>
      </c>
      <c r="H17" s="73"/>
      <c r="I17" s="72" t="s">
        <v>207</v>
      </c>
      <c r="J17" s="176">
        <v>500</v>
      </c>
      <c r="K17" s="177">
        <f>(J17)*H16</f>
        <v>116895.87426326128</v>
      </c>
      <c r="L17" s="174">
        <v>500</v>
      </c>
      <c r="M17" s="178">
        <f>K17/L17</f>
        <v>233.79174852652258</v>
      </c>
      <c r="N17" s="70"/>
      <c r="O17" s="12"/>
      <c r="P17" s="70"/>
      <c r="Q17" s="70"/>
      <c r="R17" s="70"/>
      <c r="S17" s="70"/>
      <c r="T17" s="70"/>
      <c r="U17" s="70"/>
    </row>
    <row r="18" spans="1:21" ht="12.75">
      <c r="A18" s="70"/>
      <c r="B18" s="12"/>
      <c r="C18" s="70"/>
      <c r="D18" s="77"/>
      <c r="E18" s="126"/>
      <c r="F18" s="72"/>
      <c r="G18" s="73"/>
      <c r="H18" s="73"/>
      <c r="I18" s="72"/>
      <c r="J18" s="71"/>
      <c r="K18" s="73"/>
      <c r="L18" s="73"/>
      <c r="M18" s="73"/>
      <c r="N18" s="70"/>
      <c r="O18" s="12"/>
      <c r="P18" s="70"/>
      <c r="Q18" s="70"/>
      <c r="R18" s="70"/>
      <c r="S18" s="70"/>
      <c r="T18" s="70"/>
      <c r="U18" s="70"/>
    </row>
    <row r="19" spans="1:21" ht="12.75">
      <c r="A19" s="70"/>
      <c r="B19" s="12"/>
      <c r="C19" s="70"/>
      <c r="D19" s="80"/>
      <c r="E19" s="127"/>
      <c r="F19" s="83"/>
      <c r="G19" s="81"/>
      <c r="H19" s="81"/>
      <c r="I19" s="83"/>
      <c r="J19" s="82"/>
      <c r="K19" s="81"/>
      <c r="L19" s="81"/>
      <c r="M19" s="81"/>
      <c r="N19" s="70"/>
      <c r="O19" s="12"/>
      <c r="P19" s="70"/>
      <c r="Q19" s="70"/>
      <c r="R19" s="70"/>
      <c r="S19" s="70"/>
      <c r="T19" s="70"/>
      <c r="U19" s="70"/>
    </row>
    <row r="20" spans="1:21" ht="12.75">
      <c r="A20" s="70"/>
      <c r="B20" s="12"/>
      <c r="C20" s="70"/>
      <c r="D20" s="77" t="s">
        <v>164</v>
      </c>
      <c r="E20" s="126">
        <v>75000</v>
      </c>
      <c r="F20" s="72" t="s">
        <v>164</v>
      </c>
      <c r="G20" s="174">
        <v>12</v>
      </c>
      <c r="H20" s="178">
        <f>E20/G20</f>
        <v>6250</v>
      </c>
      <c r="I20" s="72" t="s">
        <v>63</v>
      </c>
      <c r="J20" s="71">
        <v>2</v>
      </c>
      <c r="K20" s="177">
        <f>J20*H20</f>
        <v>12500</v>
      </c>
      <c r="L20" s="73">
        <v>900</v>
      </c>
      <c r="M20" s="178">
        <f>K20/L20</f>
        <v>13.88888888888889</v>
      </c>
      <c r="N20" s="70"/>
      <c r="O20" s="12"/>
      <c r="P20" s="70"/>
      <c r="Q20" s="367"/>
      <c r="R20" s="377"/>
      <c r="S20" s="70"/>
      <c r="T20" s="70"/>
      <c r="U20" s="70"/>
    </row>
    <row r="21" spans="1:21" ht="12.75">
      <c r="A21" s="70"/>
      <c r="B21" s="12"/>
      <c r="C21" s="70"/>
      <c r="D21" s="77" t="s">
        <v>163</v>
      </c>
      <c r="E21" s="126"/>
      <c r="F21" s="72"/>
      <c r="G21" s="174" t="s">
        <v>2</v>
      </c>
      <c r="H21" s="73"/>
      <c r="I21" s="72" t="s">
        <v>207</v>
      </c>
      <c r="J21" s="176">
        <v>10</v>
      </c>
      <c r="K21" s="177">
        <f>H20*J21</f>
        <v>62500</v>
      </c>
      <c r="L21" s="174">
        <v>500</v>
      </c>
      <c r="M21" s="178">
        <f>K21/L21</f>
        <v>125</v>
      </c>
      <c r="N21" s="70"/>
      <c r="O21" s="12"/>
      <c r="P21" s="70"/>
      <c r="Q21" s="367"/>
      <c r="R21" s="377"/>
      <c r="S21" s="70"/>
      <c r="T21" s="70"/>
      <c r="U21" s="70"/>
    </row>
    <row r="22" spans="1:21" ht="12.75">
      <c r="A22" s="70"/>
      <c r="B22" s="12"/>
      <c r="C22" s="70"/>
      <c r="D22" s="77"/>
      <c r="E22" s="126"/>
      <c r="F22" s="72"/>
      <c r="G22" s="73"/>
      <c r="H22" s="73"/>
      <c r="I22" s="72"/>
      <c r="J22" s="71"/>
      <c r="K22" s="73"/>
      <c r="L22" s="73"/>
      <c r="M22" s="73"/>
      <c r="N22" s="70"/>
      <c r="O22" s="12"/>
      <c r="P22" s="70"/>
      <c r="Q22" s="367"/>
      <c r="R22" s="377"/>
      <c r="S22" s="70"/>
      <c r="T22" s="70"/>
      <c r="U22" s="70"/>
    </row>
    <row r="23" spans="1:21" ht="12.75">
      <c r="A23" s="70"/>
      <c r="B23" s="12"/>
      <c r="C23" s="70"/>
      <c r="D23" s="80"/>
      <c r="E23" s="127"/>
      <c r="F23" s="83"/>
      <c r="G23" s="81"/>
      <c r="H23" s="81"/>
      <c r="I23" s="83"/>
      <c r="J23" s="82"/>
      <c r="K23" s="81"/>
      <c r="L23" s="81"/>
      <c r="M23" s="81"/>
      <c r="N23" s="70"/>
      <c r="O23" s="12"/>
      <c r="P23" s="70"/>
      <c r="Q23" s="366"/>
      <c r="R23" s="377"/>
      <c r="S23" s="70"/>
      <c r="T23" s="70"/>
      <c r="U23" s="70"/>
    </row>
    <row r="24" spans="1:21" ht="12.75">
      <c r="A24" s="70"/>
      <c r="B24" s="12"/>
      <c r="C24" s="70"/>
      <c r="D24" s="77" t="s">
        <v>218</v>
      </c>
      <c r="E24" s="126">
        <v>40000</v>
      </c>
      <c r="F24" s="72" t="s">
        <v>219</v>
      </c>
      <c r="G24" s="174">
        <f>($E$1*2)+($E$2*4)</f>
        <v>3800</v>
      </c>
      <c r="H24" s="175">
        <f>E24/G24</f>
        <v>10.526315789473685</v>
      </c>
      <c r="I24" s="72" t="s">
        <v>63</v>
      </c>
      <c r="J24" s="71">
        <v>1800</v>
      </c>
      <c r="K24" s="177">
        <f>(J24)*H24</f>
        <v>18947.368421052633</v>
      </c>
      <c r="L24" s="73">
        <v>900</v>
      </c>
      <c r="M24" s="178">
        <f>K24/L24</f>
        <v>21.05263157894737</v>
      </c>
      <c r="N24" s="70"/>
      <c r="O24" s="12"/>
      <c r="P24" s="70"/>
      <c r="Q24" s="366"/>
      <c r="R24" s="377"/>
      <c r="S24" s="70"/>
      <c r="T24" s="70"/>
      <c r="U24" s="70"/>
    </row>
    <row r="25" spans="1:21" ht="12.75">
      <c r="A25" s="70"/>
      <c r="B25" s="12"/>
      <c r="C25" s="70"/>
      <c r="D25" s="77" t="s">
        <v>165</v>
      </c>
      <c r="E25" s="126"/>
      <c r="F25" s="72"/>
      <c r="G25" s="174" t="s">
        <v>2</v>
      </c>
      <c r="H25" s="73"/>
      <c r="I25" s="72" t="s">
        <v>207</v>
      </c>
      <c r="J25" s="176">
        <v>2000</v>
      </c>
      <c r="K25" s="177">
        <f>H24*J25</f>
        <v>21052.63157894737</v>
      </c>
      <c r="L25" s="174">
        <v>500</v>
      </c>
      <c r="M25" s="178">
        <f>K25/L25</f>
        <v>42.10526315789474</v>
      </c>
      <c r="N25" s="70"/>
      <c r="O25" s="12"/>
      <c r="P25" s="70"/>
      <c r="Q25" s="366"/>
      <c r="R25" s="377"/>
      <c r="S25" s="70"/>
      <c r="T25" s="70"/>
      <c r="U25" s="70"/>
    </row>
    <row r="26" spans="1:21" ht="12.75">
      <c r="A26" s="70"/>
      <c r="B26" s="12"/>
      <c r="C26" s="70"/>
      <c r="D26" s="77"/>
      <c r="E26" s="126"/>
      <c r="F26" s="72"/>
      <c r="G26" s="73"/>
      <c r="H26" s="73"/>
      <c r="I26" s="72"/>
      <c r="J26" s="71"/>
      <c r="K26" s="73"/>
      <c r="L26" s="73"/>
      <c r="M26" s="73"/>
      <c r="N26" s="70"/>
      <c r="O26" s="12"/>
      <c r="P26" s="70"/>
      <c r="Q26" s="4"/>
      <c r="R26" s="4"/>
      <c r="S26" s="70"/>
      <c r="T26" s="70"/>
      <c r="U26" s="70"/>
    </row>
    <row r="27" spans="1:21" ht="12.75">
      <c r="A27" s="70"/>
      <c r="B27" s="12"/>
      <c r="C27" s="70"/>
      <c r="D27" s="80"/>
      <c r="E27" s="127"/>
      <c r="F27" s="83"/>
      <c r="G27" s="81"/>
      <c r="H27" s="81"/>
      <c r="I27" s="83"/>
      <c r="J27" s="82"/>
      <c r="K27" s="81"/>
      <c r="L27" s="81"/>
      <c r="M27" s="81"/>
      <c r="N27" s="70"/>
      <c r="O27" s="12"/>
      <c r="P27" s="70"/>
      <c r="Q27" s="70"/>
      <c r="R27" s="70"/>
      <c r="S27" s="70"/>
      <c r="T27" s="70"/>
      <c r="U27" s="70"/>
    </row>
    <row r="28" spans="1:21" ht="25.5">
      <c r="A28" s="70"/>
      <c r="B28" s="12"/>
      <c r="C28" s="70"/>
      <c r="D28" s="77" t="s">
        <v>469</v>
      </c>
      <c r="E28" s="126">
        <v>54000</v>
      </c>
      <c r="F28" s="72" t="s">
        <v>220</v>
      </c>
      <c r="G28" s="174">
        <v>1400</v>
      </c>
      <c r="H28" s="175">
        <f>E28/G28</f>
        <v>38.57142857142857</v>
      </c>
      <c r="I28" s="72" t="s">
        <v>63</v>
      </c>
      <c r="J28" s="71">
        <v>900</v>
      </c>
      <c r="K28" s="177">
        <f>(J28)*H28</f>
        <v>34714.28571428571</v>
      </c>
      <c r="L28" s="73">
        <v>900</v>
      </c>
      <c r="M28" s="178">
        <f>K28/L28</f>
        <v>38.57142857142857</v>
      </c>
      <c r="N28" s="70"/>
      <c r="O28" s="12"/>
      <c r="P28" s="70"/>
      <c r="Q28" s="70"/>
      <c r="R28" s="70"/>
      <c r="S28" s="70"/>
      <c r="T28" s="70"/>
      <c r="U28" s="70"/>
    </row>
    <row r="29" spans="1:21" ht="12.75">
      <c r="A29" s="70"/>
      <c r="B29" s="12"/>
      <c r="C29" s="70"/>
      <c r="D29" s="77" t="s">
        <v>2</v>
      </c>
      <c r="E29" s="73"/>
      <c r="F29" s="72"/>
      <c r="G29" s="174" t="s">
        <v>2</v>
      </c>
      <c r="H29" s="73"/>
      <c r="I29" s="72" t="s">
        <v>207</v>
      </c>
      <c r="J29" s="176">
        <v>500</v>
      </c>
      <c r="K29" s="177">
        <f>(J29)*H28</f>
        <v>19285.714285714286</v>
      </c>
      <c r="L29" s="174">
        <v>500</v>
      </c>
      <c r="M29" s="178">
        <f>K29/L29</f>
        <v>38.57142857142857</v>
      </c>
      <c r="N29" s="70"/>
      <c r="O29" s="12"/>
      <c r="P29" s="70"/>
      <c r="Q29" s="70"/>
      <c r="R29" s="70"/>
      <c r="S29" s="70"/>
      <c r="T29" s="70"/>
      <c r="U29" s="70"/>
    </row>
    <row r="30" spans="1:21" ht="12.75">
      <c r="A30" s="70"/>
      <c r="B30" s="12"/>
      <c r="C30" s="70"/>
      <c r="D30" s="77"/>
      <c r="E30" s="126"/>
      <c r="F30" s="72"/>
      <c r="G30" s="73"/>
      <c r="H30" s="73"/>
      <c r="I30" s="72" t="s">
        <v>105</v>
      </c>
      <c r="J30" s="71"/>
      <c r="K30" s="73"/>
      <c r="L30" s="73"/>
      <c r="M30" s="73"/>
      <c r="N30" s="70"/>
      <c r="O30" s="12"/>
      <c r="P30" s="70"/>
      <c r="Q30" s="70"/>
      <c r="R30" s="70"/>
      <c r="S30" s="70"/>
      <c r="T30" s="70"/>
      <c r="U30" s="70"/>
    </row>
    <row r="31" spans="1:21" ht="12.75">
      <c r="A31" s="70"/>
      <c r="B31" s="12"/>
      <c r="C31" s="70"/>
      <c r="D31" s="122"/>
      <c r="E31" s="128"/>
      <c r="F31" s="124"/>
      <c r="G31" s="123"/>
      <c r="H31" s="123"/>
      <c r="I31" s="124"/>
      <c r="J31" s="125"/>
      <c r="K31" s="123"/>
      <c r="L31" s="123"/>
      <c r="M31" s="123"/>
      <c r="N31" s="70"/>
      <c r="O31" s="12"/>
      <c r="P31" s="70"/>
      <c r="Q31" s="70"/>
      <c r="R31" s="70"/>
      <c r="S31" s="70"/>
      <c r="T31" s="70"/>
      <c r="U31" s="70"/>
    </row>
    <row r="32" spans="1:21" ht="25.5">
      <c r="A32" s="70"/>
      <c r="B32" s="12"/>
      <c r="C32" s="70"/>
      <c r="D32" s="77" t="s">
        <v>212</v>
      </c>
      <c r="E32" s="126">
        <v>150000</v>
      </c>
      <c r="F32" s="72" t="s">
        <v>220</v>
      </c>
      <c r="G32" s="174">
        <v>2300</v>
      </c>
      <c r="H32" s="175">
        <f>E32/G32</f>
        <v>65.21739130434783</v>
      </c>
      <c r="I32" s="72" t="s">
        <v>63</v>
      </c>
      <c r="J32" s="71">
        <v>1800</v>
      </c>
      <c r="K32" s="177">
        <f>(J32)*H32</f>
        <v>117391.3043478261</v>
      </c>
      <c r="L32" s="73">
        <v>900</v>
      </c>
      <c r="M32" s="178">
        <f>K32/L32</f>
        <v>130.43478260869566</v>
      </c>
      <c r="N32" s="70"/>
      <c r="O32" s="12"/>
      <c r="P32" s="70"/>
      <c r="Q32" s="70"/>
      <c r="R32" s="70"/>
      <c r="S32" s="70"/>
      <c r="T32" s="70"/>
      <c r="U32" s="70"/>
    </row>
    <row r="33" spans="1:21" ht="12.75">
      <c r="A33" s="70"/>
      <c r="B33" s="12"/>
      <c r="C33" s="70"/>
      <c r="D33" s="77"/>
      <c r="E33" s="73"/>
      <c r="F33" s="72"/>
      <c r="G33" s="174" t="s">
        <v>2</v>
      </c>
      <c r="H33" s="73"/>
      <c r="I33" s="72" t="s">
        <v>207</v>
      </c>
      <c r="J33" s="176">
        <v>500</v>
      </c>
      <c r="K33" s="177">
        <f>(J33)*H32</f>
        <v>32608.695652173916</v>
      </c>
      <c r="L33" s="174">
        <v>500</v>
      </c>
      <c r="M33" s="178">
        <f>K33/L33</f>
        <v>65.21739130434783</v>
      </c>
      <c r="N33" s="70"/>
      <c r="O33" s="12"/>
      <c r="P33" s="70"/>
      <c r="Q33" s="70"/>
      <c r="R33" s="70"/>
      <c r="S33" s="70"/>
      <c r="T33" s="70"/>
      <c r="U33" s="70"/>
    </row>
    <row r="34" spans="1:21" ht="12.75">
      <c r="A34" s="70"/>
      <c r="B34" s="12"/>
      <c r="C34" s="70"/>
      <c r="D34" s="77"/>
      <c r="E34" s="73"/>
      <c r="F34" s="72"/>
      <c r="G34" s="73"/>
      <c r="H34" s="73"/>
      <c r="I34" s="72"/>
      <c r="J34" s="71"/>
      <c r="K34" s="73"/>
      <c r="L34" s="73"/>
      <c r="M34" s="73"/>
      <c r="N34" s="70"/>
      <c r="O34" s="12"/>
      <c r="P34" s="70"/>
      <c r="Q34" s="70"/>
      <c r="R34" s="70"/>
      <c r="S34" s="70"/>
      <c r="T34" s="70"/>
      <c r="U34" s="70"/>
    </row>
    <row r="35" spans="1:21" ht="12.75">
      <c r="A35" s="70"/>
      <c r="B35" s="12"/>
      <c r="C35" s="70"/>
      <c r="D35" s="122"/>
      <c r="E35" s="188">
        <f>SUM(E10:E32)</f>
        <v>471400</v>
      </c>
      <c r="F35" s="123"/>
      <c r="G35" s="123"/>
      <c r="H35" s="123"/>
      <c r="I35" s="124"/>
      <c r="J35" s="125"/>
      <c r="K35" s="123"/>
      <c r="L35" s="123"/>
      <c r="M35" s="123"/>
      <c r="N35" s="70"/>
      <c r="O35" s="12"/>
      <c r="P35" s="70"/>
      <c r="Q35" s="70"/>
      <c r="R35" s="70"/>
      <c r="S35" s="70"/>
      <c r="T35" s="70"/>
      <c r="U35" s="70"/>
    </row>
    <row r="36" spans="1:21" ht="12.75">
      <c r="A36" s="70"/>
      <c r="B36" s="12"/>
      <c r="C36" s="70"/>
      <c r="D36" s="70"/>
      <c r="E36" s="70"/>
      <c r="F36" s="70"/>
      <c r="G36" s="70"/>
      <c r="H36" s="70"/>
      <c r="I36" s="70"/>
      <c r="J36" s="70"/>
      <c r="K36" s="84" t="s">
        <v>2</v>
      </c>
      <c r="L36" s="70"/>
      <c r="M36" s="84" t="s">
        <v>2</v>
      </c>
      <c r="N36" s="70"/>
      <c r="O36" s="12"/>
      <c r="P36" s="70"/>
      <c r="Q36" s="70"/>
      <c r="R36" s="70"/>
      <c r="S36" s="70"/>
      <c r="T36" s="70"/>
      <c r="U36" s="70"/>
    </row>
    <row r="37" spans="1:21" ht="12.75">
      <c r="A37" s="70"/>
      <c r="B37" s="12"/>
      <c r="C37" s="70"/>
      <c r="D37" s="70"/>
      <c r="E37" s="70"/>
      <c r="F37" s="528"/>
      <c r="G37" s="528"/>
      <c r="H37" s="528"/>
      <c r="I37" s="70"/>
      <c r="J37" s="70"/>
      <c r="K37" s="84" t="s">
        <v>2</v>
      </c>
      <c r="L37" s="70"/>
      <c r="M37" s="70"/>
      <c r="N37" s="70"/>
      <c r="O37" s="12"/>
      <c r="P37" s="70"/>
      <c r="Q37" s="70"/>
      <c r="R37" s="70"/>
      <c r="S37" s="70"/>
      <c r="T37" s="70"/>
      <c r="U37" s="70"/>
    </row>
    <row r="38" spans="1:21" ht="12.75">
      <c r="A38" s="70"/>
      <c r="B38" s="12"/>
      <c r="C38" s="70"/>
      <c r="D38" s="70"/>
      <c r="E38" s="70"/>
      <c r="F38" s="70"/>
      <c r="G38" s="70"/>
      <c r="H38" s="70"/>
      <c r="I38" s="70"/>
      <c r="J38" s="70"/>
      <c r="K38" s="70"/>
      <c r="L38" s="70"/>
      <c r="M38" s="70"/>
      <c r="N38" s="70"/>
      <c r="O38" s="12"/>
      <c r="P38" s="70"/>
      <c r="Q38" s="70"/>
      <c r="R38" s="70"/>
      <c r="S38" s="70"/>
      <c r="T38" s="70"/>
      <c r="U38" s="70"/>
    </row>
    <row r="39" spans="1:21" ht="12.75">
      <c r="A39" s="70"/>
      <c r="B39" s="12"/>
      <c r="C39" s="70"/>
      <c r="D39" s="86" t="s">
        <v>166</v>
      </c>
      <c r="E39" s="4"/>
      <c r="F39" s="85"/>
      <c r="G39" s="85"/>
      <c r="H39" s="529" t="s">
        <v>63</v>
      </c>
      <c r="I39" s="530"/>
      <c r="J39" s="531" t="s">
        <v>159</v>
      </c>
      <c r="K39" s="532"/>
      <c r="L39" s="70"/>
      <c r="M39" s="70"/>
      <c r="N39" s="70"/>
      <c r="O39" s="12"/>
      <c r="P39" s="70"/>
      <c r="Q39" s="70"/>
      <c r="R39" s="70"/>
      <c r="S39" s="70"/>
      <c r="T39" s="70"/>
      <c r="U39" s="70"/>
    </row>
    <row r="40" spans="1:21" ht="12.75">
      <c r="A40" s="70"/>
      <c r="B40" s="12"/>
      <c r="C40" s="70"/>
      <c r="D40" s="86"/>
      <c r="E40" s="4"/>
      <c r="F40" s="85"/>
      <c r="G40" s="85"/>
      <c r="H40" s="318" t="s">
        <v>418</v>
      </c>
      <c r="I40" s="325" t="s">
        <v>419</v>
      </c>
      <c r="J40" s="322" t="s">
        <v>418</v>
      </c>
      <c r="K40" s="319" t="s">
        <v>419</v>
      </c>
      <c r="L40" s="4"/>
      <c r="M40" s="4"/>
      <c r="N40" s="70"/>
      <c r="O40" s="12"/>
      <c r="P40" s="70"/>
      <c r="Q40" s="70"/>
      <c r="R40" s="70"/>
      <c r="S40" s="70"/>
      <c r="T40" s="70"/>
      <c r="U40" s="70"/>
    </row>
    <row r="41" spans="1:21" ht="12.75">
      <c r="A41" s="70"/>
      <c r="B41" s="12"/>
      <c r="C41" s="70"/>
      <c r="D41" s="85" t="s">
        <v>167</v>
      </c>
      <c r="E41" s="4"/>
      <c r="F41" s="70"/>
      <c r="G41" s="85"/>
      <c r="H41" s="120">
        <f>$L$59*$L$62</f>
        <v>272700</v>
      </c>
      <c r="I41" s="326">
        <f>$L$59*$L$62</f>
        <v>272700</v>
      </c>
      <c r="J41" s="323">
        <f>L60*L63</f>
        <v>335000</v>
      </c>
      <c r="K41" s="79">
        <f>$L$60*$L$63</f>
        <v>335000</v>
      </c>
      <c r="L41" s="4"/>
      <c r="M41" s="7"/>
      <c r="N41" s="70"/>
      <c r="O41" s="12"/>
      <c r="P41" s="70"/>
      <c r="Q41" s="70"/>
      <c r="R41" s="70"/>
      <c r="S41" s="70"/>
      <c r="T41" s="70"/>
      <c r="U41" s="70"/>
    </row>
    <row r="42" spans="1:21" ht="12.75">
      <c r="A42" s="70"/>
      <c r="B42" s="12"/>
      <c r="C42" s="70"/>
      <c r="D42" s="85" t="s">
        <v>168</v>
      </c>
      <c r="E42" s="4"/>
      <c r="F42" s="70"/>
      <c r="G42" s="85"/>
      <c r="H42" s="120">
        <f>$L$64*$L$59</f>
        <v>129600</v>
      </c>
      <c r="I42" s="326">
        <f>$L$64*$L$59</f>
        <v>129600</v>
      </c>
      <c r="J42" s="323">
        <f>L65*L60</f>
        <v>112000</v>
      </c>
      <c r="K42" s="79">
        <f>$L$60*$L$65</f>
        <v>112000</v>
      </c>
      <c r="L42" s="4"/>
      <c r="M42" s="4"/>
      <c r="N42" s="70"/>
      <c r="O42" s="12"/>
      <c r="P42" s="70"/>
      <c r="Q42" s="70"/>
      <c r="R42" s="70"/>
      <c r="S42" s="70"/>
      <c r="T42" s="70"/>
      <c r="U42" s="70"/>
    </row>
    <row r="43" spans="1:21" ht="12.75">
      <c r="A43" s="70"/>
      <c r="B43" s="12"/>
      <c r="C43" s="70"/>
      <c r="D43" s="85" t="s">
        <v>215</v>
      </c>
      <c r="E43" s="4"/>
      <c r="F43" s="70"/>
      <c r="G43" s="85"/>
      <c r="H43" s="121">
        <f>SUM($H$41:$H$42)</f>
        <v>402300</v>
      </c>
      <c r="I43" s="327">
        <f>SUM($H$41:$H$42)</f>
        <v>402300</v>
      </c>
      <c r="J43" s="324">
        <f>SUM(J41:J42)</f>
        <v>447000</v>
      </c>
      <c r="K43" s="320">
        <f>SUM(K41:K42)</f>
        <v>447000</v>
      </c>
      <c r="L43" s="4"/>
      <c r="M43" s="4"/>
      <c r="N43" s="70"/>
      <c r="O43" s="12"/>
      <c r="P43" s="70"/>
      <c r="Q43" s="70"/>
      <c r="R43" s="70"/>
      <c r="S43" s="70"/>
      <c r="T43" s="70"/>
      <c r="U43" s="70"/>
    </row>
    <row r="44" spans="1:21" ht="12.75">
      <c r="A44" s="70"/>
      <c r="B44" s="12"/>
      <c r="C44" s="70"/>
      <c r="D44" s="85"/>
      <c r="E44" s="4"/>
      <c r="F44" s="70"/>
      <c r="G44" s="85"/>
      <c r="H44" s="95"/>
      <c r="I44" s="328"/>
      <c r="J44" s="95"/>
      <c r="K44" s="4"/>
      <c r="L44" s="4"/>
      <c r="M44" s="4"/>
      <c r="N44" s="70"/>
      <c r="O44" s="12"/>
      <c r="P44" s="70"/>
      <c r="Q44" s="70"/>
      <c r="R44" s="70"/>
      <c r="S44" s="70"/>
      <c r="T44" s="70"/>
      <c r="U44" s="70"/>
    </row>
    <row r="45" spans="1:21" ht="12.75">
      <c r="A45" s="70"/>
      <c r="B45" s="12"/>
      <c r="C45" s="70"/>
      <c r="D45" s="90" t="s">
        <v>169</v>
      </c>
      <c r="E45" s="4"/>
      <c r="F45" s="70"/>
      <c r="G45" s="85" t="s">
        <v>418</v>
      </c>
      <c r="H45" s="320">
        <f>$E$35/14200*7200</f>
        <v>239019.71830985916</v>
      </c>
      <c r="I45" s="376"/>
      <c r="J45" s="324">
        <f>$E$35/14200*7000</f>
        <v>232380.28169014087</v>
      </c>
      <c r="K45" s="4"/>
      <c r="L45" s="4"/>
      <c r="M45" s="4"/>
      <c r="N45" s="70"/>
      <c r="O45" s="12"/>
      <c r="P45" s="70"/>
      <c r="Q45" s="70"/>
      <c r="R45" s="70"/>
      <c r="S45" s="70"/>
      <c r="T45" s="70"/>
      <c r="U45" s="70"/>
    </row>
    <row r="46" spans="1:21" ht="12.75">
      <c r="A46" s="70"/>
      <c r="B46" s="12"/>
      <c r="C46" s="70"/>
      <c r="D46" s="87" t="s">
        <v>213</v>
      </c>
      <c r="E46" s="4"/>
      <c r="F46" s="85"/>
      <c r="G46" s="329"/>
      <c r="H46" s="121"/>
      <c r="I46" s="327">
        <f>K12</f>
        <v>2757.7981651376144</v>
      </c>
      <c r="J46" s="324"/>
      <c r="K46" s="320">
        <f>K13</f>
        <v>30642.201834862382</v>
      </c>
      <c r="L46" s="4"/>
      <c r="M46" s="4"/>
      <c r="N46" s="70"/>
      <c r="O46" s="12"/>
      <c r="P46" s="70"/>
      <c r="Q46" s="70"/>
      <c r="R46" s="70"/>
      <c r="S46" s="70"/>
      <c r="T46" s="70"/>
      <c r="U46" s="70"/>
    </row>
    <row r="47" spans="1:21" ht="12.75">
      <c r="A47" s="70"/>
      <c r="B47" s="12"/>
      <c r="C47" s="70"/>
      <c r="D47" s="88" t="s">
        <v>147</v>
      </c>
      <c r="E47" s="4"/>
      <c r="F47" s="85"/>
      <c r="G47" s="329"/>
      <c r="H47" s="121"/>
      <c r="I47" s="327">
        <f>K16</f>
        <v>2104.1257367387034</v>
      </c>
      <c r="J47" s="324"/>
      <c r="K47" s="320">
        <f>K17</f>
        <v>116895.87426326128</v>
      </c>
      <c r="L47" s="4"/>
      <c r="M47" s="4"/>
      <c r="N47" s="70"/>
      <c r="O47" s="12"/>
      <c r="P47" s="70"/>
      <c r="Q47" s="70"/>
      <c r="R47" s="70"/>
      <c r="S47" s="70"/>
      <c r="T47" s="70"/>
      <c r="U47" s="70"/>
    </row>
    <row r="48" spans="1:21" ht="12.75">
      <c r="A48" s="70"/>
      <c r="B48" s="12"/>
      <c r="C48" s="70"/>
      <c r="D48" s="89" t="s">
        <v>149</v>
      </c>
      <c r="E48" s="4"/>
      <c r="F48" s="85"/>
      <c r="G48" s="329"/>
      <c r="H48" s="121"/>
      <c r="I48" s="327">
        <f>K20</f>
        <v>12500</v>
      </c>
      <c r="J48" s="324"/>
      <c r="K48" s="320">
        <f>K21</f>
        <v>62500</v>
      </c>
      <c r="L48" s="4"/>
      <c r="M48" s="4"/>
      <c r="N48" s="70"/>
      <c r="O48" s="12"/>
      <c r="P48" s="70"/>
      <c r="Q48" s="70"/>
      <c r="R48" s="70"/>
      <c r="S48" s="70"/>
      <c r="T48" s="70"/>
      <c r="U48" s="70"/>
    </row>
    <row r="49" spans="1:21" ht="12.75">
      <c r="A49" s="70"/>
      <c r="B49" s="12"/>
      <c r="C49" s="70"/>
      <c r="D49" s="89" t="s">
        <v>148</v>
      </c>
      <c r="E49" s="4"/>
      <c r="F49" s="85"/>
      <c r="G49" s="329"/>
      <c r="H49" s="121"/>
      <c r="I49" s="327">
        <f>K24</f>
        <v>18947.368421052633</v>
      </c>
      <c r="J49" s="324"/>
      <c r="K49" s="320">
        <f>K25</f>
        <v>21052.63157894737</v>
      </c>
      <c r="L49" s="4"/>
      <c r="M49" s="4"/>
      <c r="N49" s="70"/>
      <c r="O49" s="12"/>
      <c r="P49" s="70"/>
      <c r="Q49" s="70"/>
      <c r="R49" s="70"/>
      <c r="S49" s="70"/>
      <c r="T49" s="70"/>
      <c r="U49" s="70"/>
    </row>
    <row r="50" spans="1:21" ht="12.75">
      <c r="A50" s="70"/>
      <c r="B50" s="12"/>
      <c r="C50" s="70"/>
      <c r="D50" s="94" t="s">
        <v>221</v>
      </c>
      <c r="E50" s="4"/>
      <c r="F50" s="85"/>
      <c r="G50" s="330"/>
      <c r="H50" s="121"/>
      <c r="I50" s="327">
        <f>K28</f>
        <v>34714.28571428571</v>
      </c>
      <c r="J50" s="324"/>
      <c r="K50" s="320">
        <f>K29</f>
        <v>19285.714285714286</v>
      </c>
      <c r="L50" s="4"/>
      <c r="M50" s="4"/>
      <c r="N50" s="70"/>
      <c r="O50" s="12"/>
      <c r="P50" s="70"/>
      <c r="Q50" s="70"/>
      <c r="R50" s="70"/>
      <c r="S50" s="70"/>
      <c r="T50" s="70"/>
      <c r="U50" s="70"/>
    </row>
    <row r="51" spans="1:21" ht="12.75">
      <c r="A51" s="70"/>
      <c r="B51" s="12"/>
      <c r="C51" s="70"/>
      <c r="D51" s="94" t="s">
        <v>212</v>
      </c>
      <c r="E51" s="4"/>
      <c r="F51" s="85"/>
      <c r="G51" s="329"/>
      <c r="H51" s="121"/>
      <c r="I51" s="327">
        <f>K32</f>
        <v>117391.3043478261</v>
      </c>
      <c r="J51" s="324"/>
      <c r="K51" s="320">
        <f>K33</f>
        <v>32608.695652173916</v>
      </c>
      <c r="L51" s="4"/>
      <c r="M51" s="4"/>
      <c r="N51" s="70"/>
      <c r="O51" s="12"/>
      <c r="P51" s="70"/>
      <c r="Q51" s="70"/>
      <c r="R51" s="70"/>
      <c r="S51" s="70"/>
      <c r="T51" s="70"/>
      <c r="U51" s="70"/>
    </row>
    <row r="52" spans="1:21" ht="12.75">
      <c r="A52" s="70"/>
      <c r="B52" s="12"/>
      <c r="C52" s="70"/>
      <c r="D52" s="91" t="s">
        <v>299</v>
      </c>
      <c r="E52" s="4"/>
      <c r="F52" s="85"/>
      <c r="G52" s="347" t="s">
        <v>419</v>
      </c>
      <c r="H52" s="331"/>
      <c r="I52" s="332">
        <f>SUM(I45:I51)</f>
        <v>188414.88238504075</v>
      </c>
      <c r="J52" s="333"/>
      <c r="K52" s="334">
        <f>SUM(K45:K51)</f>
        <v>282985.11761495925</v>
      </c>
      <c r="L52" s="321"/>
      <c r="M52" s="4"/>
      <c r="N52" s="70"/>
      <c r="O52" s="12"/>
      <c r="P52" s="70"/>
      <c r="Q52" s="70"/>
      <c r="R52" s="70"/>
      <c r="S52" s="70"/>
      <c r="T52" s="70"/>
      <c r="U52" s="70"/>
    </row>
    <row r="53" spans="1:21" ht="13.5" thickBot="1">
      <c r="A53" s="70"/>
      <c r="B53" s="12"/>
      <c r="C53" s="70"/>
      <c r="D53" s="85" t="s">
        <v>429</v>
      </c>
      <c r="E53" s="4"/>
      <c r="F53" s="85"/>
      <c r="G53" s="329"/>
      <c r="H53" s="335">
        <f>H43+H45</f>
        <v>641319.7183098592</v>
      </c>
      <c r="I53" s="336">
        <f>I43+I52</f>
        <v>590714.8823850407</v>
      </c>
      <c r="J53" s="337">
        <f>J43+J45</f>
        <v>679380.2816901408</v>
      </c>
      <c r="K53" s="335">
        <f>K43+K52</f>
        <v>729985.1176149593</v>
      </c>
      <c r="L53" s="70"/>
      <c r="M53" s="70"/>
      <c r="N53" s="70"/>
      <c r="O53" s="12"/>
      <c r="P53" s="70"/>
      <c r="Q53" s="70"/>
      <c r="R53" s="70"/>
      <c r="S53" s="70"/>
      <c r="T53" s="70"/>
      <c r="U53" s="70"/>
    </row>
    <row r="54" spans="1:21" ht="13.5" thickTop="1">
      <c r="A54" s="70"/>
      <c r="B54" s="12"/>
      <c r="C54" s="70"/>
      <c r="D54" s="70"/>
      <c r="E54" s="85"/>
      <c r="F54" s="85"/>
      <c r="G54" s="329"/>
      <c r="H54" s="338"/>
      <c r="I54" s="338"/>
      <c r="J54" s="338"/>
      <c r="K54" s="339"/>
      <c r="L54" s="70"/>
      <c r="M54" s="70"/>
      <c r="N54" s="70"/>
      <c r="O54" s="12"/>
      <c r="P54" s="70"/>
      <c r="Q54" s="70"/>
      <c r="R54" s="70"/>
      <c r="S54" s="70"/>
      <c r="T54" s="70"/>
      <c r="U54" s="70"/>
    </row>
    <row r="55" spans="1:21" ht="12.75">
      <c r="A55" s="70"/>
      <c r="B55" s="12"/>
      <c r="C55" s="70"/>
      <c r="D55" s="70"/>
      <c r="E55" s="70"/>
      <c r="F55" s="70"/>
      <c r="G55" s="329"/>
      <c r="H55" s="338"/>
      <c r="I55" s="338"/>
      <c r="J55" s="329"/>
      <c r="K55" s="339"/>
      <c r="L55" s="70"/>
      <c r="M55" s="70"/>
      <c r="N55" s="70"/>
      <c r="O55" s="12"/>
      <c r="P55" s="70"/>
      <c r="Q55" s="70"/>
      <c r="R55" s="70"/>
      <c r="S55" s="70"/>
      <c r="T55" s="70"/>
      <c r="U55" s="70"/>
    </row>
    <row r="56" spans="1:21" ht="12.75">
      <c r="A56" s="70"/>
      <c r="B56" s="12"/>
      <c r="C56" s="70"/>
      <c r="D56" s="70"/>
      <c r="E56" s="86" t="s">
        <v>430</v>
      </c>
      <c r="F56" s="70"/>
      <c r="G56" s="329"/>
      <c r="H56" s="329"/>
      <c r="I56" s="338"/>
      <c r="J56" s="329"/>
      <c r="K56" s="339"/>
      <c r="L56" s="70"/>
      <c r="M56" s="70"/>
      <c r="N56" s="70"/>
      <c r="O56" s="12"/>
      <c r="P56" s="70"/>
      <c r="Q56" s="70"/>
      <c r="R56" s="70"/>
      <c r="S56" s="70"/>
      <c r="T56" s="70"/>
      <c r="U56" s="70"/>
    </row>
    <row r="57" spans="1:21" ht="12.75">
      <c r="A57" s="70"/>
      <c r="B57" s="12"/>
      <c r="C57" s="70"/>
      <c r="D57" s="70"/>
      <c r="E57" s="86" t="s">
        <v>63</v>
      </c>
      <c r="F57" s="85"/>
      <c r="G57" s="329"/>
      <c r="H57" s="329"/>
      <c r="I57" s="338"/>
      <c r="J57" s="329"/>
      <c r="K57" s="339"/>
      <c r="L57" s="70"/>
      <c r="M57" s="70"/>
      <c r="N57" s="70"/>
      <c r="O57" s="12"/>
      <c r="P57" s="70"/>
      <c r="Q57" s="70"/>
      <c r="R57" s="70"/>
      <c r="S57" s="70"/>
      <c r="T57" s="70"/>
      <c r="U57" s="70"/>
    </row>
    <row r="58" spans="1:21" ht="15">
      <c r="A58" s="70"/>
      <c r="B58" s="12"/>
      <c r="C58" s="70"/>
      <c r="D58" s="70"/>
      <c r="E58" s="85" t="s">
        <v>170</v>
      </c>
      <c r="F58" s="85"/>
      <c r="G58" s="340">
        <f>H53/E1</f>
        <v>712.5774647887324</v>
      </c>
      <c r="H58" s="329"/>
      <c r="I58" s="338"/>
      <c r="J58" s="329"/>
      <c r="K58" s="533" t="s">
        <v>422</v>
      </c>
      <c r="L58" s="534"/>
      <c r="M58" s="70"/>
      <c r="N58" s="70"/>
      <c r="O58" s="12"/>
      <c r="P58" s="70"/>
      <c r="Q58" s="70"/>
      <c r="R58" s="70"/>
      <c r="S58" s="70"/>
      <c r="T58" s="70"/>
      <c r="U58" s="70"/>
    </row>
    <row r="59" spans="1:21" ht="12.75">
      <c r="A59" s="70"/>
      <c r="B59" s="12"/>
      <c r="C59" s="70"/>
      <c r="D59" s="70"/>
      <c r="E59" s="85" t="s">
        <v>171</v>
      </c>
      <c r="F59" s="85"/>
      <c r="G59" s="340">
        <f>I53/E1</f>
        <v>656.349869316712</v>
      </c>
      <c r="H59" s="329"/>
      <c r="I59" s="329"/>
      <c r="J59" s="329"/>
      <c r="K59" s="121" t="s">
        <v>420</v>
      </c>
      <c r="L59" s="71">
        <f>E1</f>
        <v>900</v>
      </c>
      <c r="M59" s="85"/>
      <c r="N59" s="70"/>
      <c r="O59" s="12"/>
      <c r="P59" s="70"/>
      <c r="Q59" s="70"/>
      <c r="R59" s="70"/>
      <c r="S59" s="70"/>
      <c r="T59" s="70"/>
      <c r="U59" s="70"/>
    </row>
    <row r="60" spans="1:21" ht="12.75">
      <c r="A60" s="70"/>
      <c r="B60" s="12"/>
      <c r="C60" s="70"/>
      <c r="D60" s="70"/>
      <c r="E60" s="85"/>
      <c r="F60" s="85"/>
      <c r="G60" s="329"/>
      <c r="H60" s="329"/>
      <c r="I60" s="329"/>
      <c r="J60" s="329"/>
      <c r="K60" s="121" t="s">
        <v>421</v>
      </c>
      <c r="L60" s="176">
        <f>E2</f>
        <v>500</v>
      </c>
      <c r="M60" s="85"/>
      <c r="N60" s="70"/>
      <c r="O60" s="12"/>
      <c r="P60" s="70"/>
      <c r="Q60" s="70"/>
      <c r="R60" s="70"/>
      <c r="S60" s="70"/>
      <c r="T60" s="70"/>
      <c r="U60" s="70"/>
    </row>
    <row r="61" spans="1:21" ht="12.75">
      <c r="A61" s="70"/>
      <c r="B61" s="12"/>
      <c r="C61" s="70"/>
      <c r="D61" s="70"/>
      <c r="E61" s="85"/>
      <c r="F61" s="85"/>
      <c r="G61" s="329"/>
      <c r="H61" s="329"/>
      <c r="I61" s="329"/>
      <c r="J61" s="329"/>
      <c r="K61" s="317"/>
      <c r="L61" s="341"/>
      <c r="M61" s="85"/>
      <c r="N61" s="70"/>
      <c r="O61" s="12"/>
      <c r="P61" s="70"/>
      <c r="Q61" s="70"/>
      <c r="R61" s="70"/>
      <c r="S61" s="70"/>
      <c r="T61" s="70"/>
      <c r="U61" s="70"/>
    </row>
    <row r="62" spans="1:21" ht="12.75">
      <c r="A62" s="70"/>
      <c r="B62" s="12"/>
      <c r="C62" s="70"/>
      <c r="D62" s="70"/>
      <c r="E62" s="86" t="s">
        <v>207</v>
      </c>
      <c r="F62" s="85"/>
      <c r="G62" s="329"/>
      <c r="H62" s="329"/>
      <c r="I62" s="329"/>
      <c r="J62" s="329"/>
      <c r="K62" s="121" t="s">
        <v>423</v>
      </c>
      <c r="L62" s="71">
        <v>303</v>
      </c>
      <c r="M62" s="85"/>
      <c r="N62" s="70"/>
      <c r="O62" s="12"/>
      <c r="P62" s="70"/>
      <c r="Q62" s="70"/>
      <c r="R62" s="70"/>
      <c r="S62" s="70"/>
      <c r="T62" s="70"/>
      <c r="U62" s="70"/>
    </row>
    <row r="63" spans="1:21" ht="12.75">
      <c r="A63" s="70"/>
      <c r="B63" s="12"/>
      <c r="C63" s="70"/>
      <c r="D63" s="70"/>
      <c r="E63" s="85" t="s">
        <v>170</v>
      </c>
      <c r="F63" s="85"/>
      <c r="G63" s="340">
        <f>J53/E2</f>
        <v>1358.7605633802816</v>
      </c>
      <c r="H63" s="329"/>
      <c r="I63" s="329"/>
      <c r="J63" s="329"/>
      <c r="K63" s="121" t="s">
        <v>424</v>
      </c>
      <c r="L63" s="71">
        <v>670</v>
      </c>
      <c r="M63" s="85"/>
      <c r="N63" s="70"/>
      <c r="O63" s="12"/>
      <c r="P63" s="70"/>
      <c r="Q63" s="70"/>
      <c r="R63" s="70"/>
      <c r="S63" s="70"/>
      <c r="T63" s="70"/>
      <c r="U63" s="70"/>
    </row>
    <row r="64" spans="1:21" ht="12.75">
      <c r="A64" s="70"/>
      <c r="B64" s="12"/>
      <c r="C64" s="70"/>
      <c r="D64" s="70"/>
      <c r="E64" s="85" t="s">
        <v>171</v>
      </c>
      <c r="F64" s="85"/>
      <c r="G64" s="340">
        <f>K53/E2</f>
        <v>1459.9702352299184</v>
      </c>
      <c r="H64" s="329"/>
      <c r="I64" s="329"/>
      <c r="J64" s="329"/>
      <c r="K64" s="121" t="s">
        <v>425</v>
      </c>
      <c r="L64" s="71">
        <v>144</v>
      </c>
      <c r="M64" s="85"/>
      <c r="N64" s="70"/>
      <c r="O64" s="12"/>
      <c r="P64" s="70"/>
      <c r="Q64" s="70"/>
      <c r="R64" s="70"/>
      <c r="S64" s="70"/>
      <c r="T64" s="70"/>
      <c r="U64" s="70"/>
    </row>
    <row r="65" spans="1:21" ht="12.75">
      <c r="A65" s="70"/>
      <c r="B65" s="12"/>
      <c r="C65" s="70"/>
      <c r="D65" s="70"/>
      <c r="E65" s="85"/>
      <c r="F65" s="85"/>
      <c r="G65" s="85"/>
      <c r="H65" s="85"/>
      <c r="I65" s="85"/>
      <c r="J65" s="85"/>
      <c r="K65" s="71" t="s">
        <v>424</v>
      </c>
      <c r="L65" s="71">
        <v>224</v>
      </c>
      <c r="M65" s="85"/>
      <c r="N65" s="70"/>
      <c r="O65" s="12"/>
      <c r="P65" s="70"/>
      <c r="Q65" s="70"/>
      <c r="R65" s="70"/>
      <c r="S65" s="70"/>
      <c r="T65" s="70"/>
      <c r="U65" s="70"/>
    </row>
    <row r="66" spans="1:21" ht="12.75">
      <c r="A66" s="70"/>
      <c r="B66" s="12"/>
      <c r="C66" s="70"/>
      <c r="D66" s="70"/>
      <c r="E66" s="85"/>
      <c r="F66" s="85"/>
      <c r="G66" s="85"/>
      <c r="H66" s="85"/>
      <c r="I66" s="85"/>
      <c r="J66" s="85"/>
      <c r="K66" s="70"/>
      <c r="L66" s="70"/>
      <c r="M66" s="70"/>
      <c r="N66" s="70"/>
      <c r="O66" s="12"/>
      <c r="P66" s="70"/>
      <c r="Q66" s="70"/>
      <c r="R66" s="70"/>
      <c r="S66" s="70"/>
      <c r="T66" s="70"/>
      <c r="U66" s="70"/>
    </row>
    <row r="67" spans="1:21" ht="12.75">
      <c r="A67" s="70"/>
      <c r="B67" s="12"/>
      <c r="C67" s="70"/>
      <c r="D67" s="70"/>
      <c r="E67" s="70"/>
      <c r="F67" s="70"/>
      <c r="G67" s="70"/>
      <c r="H67" s="70"/>
      <c r="I67" s="70"/>
      <c r="J67" s="70"/>
      <c r="K67" s="70"/>
      <c r="L67" s="70"/>
      <c r="M67" s="70"/>
      <c r="N67" s="70"/>
      <c r="O67" s="12"/>
      <c r="P67" s="70"/>
      <c r="Q67" s="70"/>
      <c r="R67" s="70"/>
      <c r="S67" s="70"/>
      <c r="T67" s="70"/>
      <c r="U67" s="70"/>
    </row>
    <row r="68" spans="1:21" ht="12.75">
      <c r="A68" s="70"/>
      <c r="B68" s="12"/>
      <c r="C68" s="12"/>
      <c r="D68" s="12"/>
      <c r="E68" s="12"/>
      <c r="F68" s="12"/>
      <c r="G68" s="12"/>
      <c r="H68" s="12"/>
      <c r="I68" s="12"/>
      <c r="J68" s="12"/>
      <c r="K68" s="12"/>
      <c r="L68" s="12"/>
      <c r="M68" s="12"/>
      <c r="N68" s="12"/>
      <c r="O68" s="12"/>
      <c r="P68" s="70"/>
      <c r="Q68" s="70"/>
      <c r="R68" s="70"/>
      <c r="S68" s="70"/>
      <c r="T68" s="70"/>
      <c r="U68" s="70"/>
    </row>
    <row r="69" spans="1:21" ht="12.75">
      <c r="A69" s="70"/>
      <c r="B69" s="70"/>
      <c r="C69" s="70"/>
      <c r="D69" s="70"/>
      <c r="E69" s="70"/>
      <c r="F69" s="70"/>
      <c r="G69" s="70"/>
      <c r="H69" s="70"/>
      <c r="I69" s="70"/>
      <c r="J69" s="70"/>
      <c r="K69" s="70"/>
      <c r="L69" s="70"/>
      <c r="M69" s="70"/>
      <c r="N69" s="70"/>
      <c r="O69" s="70"/>
      <c r="P69" s="70"/>
      <c r="Q69" s="70"/>
      <c r="R69" s="70"/>
      <c r="S69" s="70"/>
      <c r="T69" s="70"/>
      <c r="U69" s="70"/>
    </row>
    <row r="70" spans="1:21" ht="12.75">
      <c r="A70" s="70"/>
      <c r="B70" s="70"/>
      <c r="C70" s="70"/>
      <c r="D70" s="70"/>
      <c r="E70" s="70"/>
      <c r="F70" s="70"/>
      <c r="G70" s="70"/>
      <c r="H70" s="70"/>
      <c r="I70" s="70"/>
      <c r="J70" s="70"/>
      <c r="K70" s="70"/>
      <c r="L70" s="70"/>
      <c r="M70" s="70"/>
      <c r="N70" s="70"/>
      <c r="O70" s="70"/>
      <c r="P70" s="70"/>
      <c r="Q70" s="70"/>
      <c r="R70" s="70"/>
      <c r="S70" s="70"/>
      <c r="T70" s="70"/>
      <c r="U70" s="70"/>
    </row>
    <row r="71" spans="1:21" ht="12.75">
      <c r="A71" s="70"/>
      <c r="B71" s="70"/>
      <c r="C71" s="70"/>
      <c r="D71" s="70"/>
      <c r="E71" s="70"/>
      <c r="F71" s="70"/>
      <c r="G71" s="70"/>
      <c r="H71" s="70"/>
      <c r="I71" s="70"/>
      <c r="J71" s="70"/>
      <c r="K71" s="70"/>
      <c r="L71" s="70"/>
      <c r="M71" s="70"/>
      <c r="N71" s="70"/>
      <c r="O71" s="70"/>
      <c r="P71" s="70"/>
      <c r="Q71" s="70"/>
      <c r="R71" s="70"/>
      <c r="S71" s="70"/>
      <c r="T71" s="70"/>
      <c r="U71" s="70"/>
    </row>
    <row r="72" spans="1:21" ht="12.75">
      <c r="A72" s="70"/>
      <c r="B72" s="70"/>
      <c r="C72" s="70"/>
      <c r="D72" s="70"/>
      <c r="E72" s="70"/>
      <c r="F72" s="70"/>
      <c r="G72" s="70"/>
      <c r="H72" s="70"/>
      <c r="I72" s="70"/>
      <c r="J72" s="70"/>
      <c r="K72" s="70"/>
      <c r="L72" s="70"/>
      <c r="M72" s="70"/>
      <c r="N72" s="70"/>
      <c r="O72" s="70"/>
      <c r="P72" s="70"/>
      <c r="Q72" s="70"/>
      <c r="R72" s="70"/>
      <c r="S72" s="70"/>
      <c r="T72" s="70"/>
      <c r="U72" s="70"/>
    </row>
    <row r="73" spans="1:21" ht="12.75">
      <c r="A73" s="70"/>
      <c r="B73" s="70"/>
      <c r="C73" s="70"/>
      <c r="D73" s="70"/>
      <c r="E73" s="70"/>
      <c r="F73" s="70"/>
      <c r="G73" s="70"/>
      <c r="H73" s="70"/>
      <c r="I73" s="70"/>
      <c r="J73" s="70"/>
      <c r="K73" s="70"/>
      <c r="L73" s="70"/>
      <c r="M73" s="70"/>
      <c r="N73" s="70"/>
      <c r="O73" s="70"/>
      <c r="P73" s="70"/>
      <c r="Q73" s="70"/>
      <c r="R73" s="70"/>
      <c r="S73" s="70"/>
      <c r="T73" s="70"/>
      <c r="U73" s="70"/>
    </row>
    <row r="74" spans="1:21" ht="12.75">
      <c r="A74" s="70"/>
      <c r="B74" s="70"/>
      <c r="C74" s="70"/>
      <c r="D74" s="70"/>
      <c r="E74" s="70"/>
      <c r="F74" s="70"/>
      <c r="G74" s="70"/>
      <c r="H74" s="70"/>
      <c r="I74" s="70"/>
      <c r="J74" s="70"/>
      <c r="K74" s="70"/>
      <c r="L74" s="70"/>
      <c r="M74" s="70"/>
      <c r="N74" s="70"/>
      <c r="O74" s="70"/>
      <c r="P74" s="70"/>
      <c r="Q74" s="70"/>
      <c r="R74" s="70"/>
      <c r="S74" s="70"/>
      <c r="T74" s="70"/>
      <c r="U74" s="70"/>
    </row>
    <row r="75" spans="1:21" ht="12.75">
      <c r="A75" s="70"/>
      <c r="B75" s="70"/>
      <c r="C75" s="70"/>
      <c r="D75" s="70"/>
      <c r="E75" s="70"/>
      <c r="F75" s="70"/>
      <c r="G75" s="70"/>
      <c r="H75" s="70"/>
      <c r="I75" s="70"/>
      <c r="J75" s="70"/>
      <c r="K75" s="70"/>
      <c r="L75" s="70"/>
      <c r="M75" s="70"/>
      <c r="N75" s="70"/>
      <c r="O75" s="70"/>
      <c r="P75" s="70"/>
      <c r="Q75" s="70"/>
      <c r="R75" s="70"/>
      <c r="S75" s="70"/>
      <c r="T75" s="70"/>
      <c r="U75" s="70"/>
    </row>
    <row r="76" spans="1:21" ht="12.75">
      <c r="A76" s="70"/>
      <c r="B76" s="70"/>
      <c r="C76" s="70"/>
      <c r="D76" s="70"/>
      <c r="E76" s="70"/>
      <c r="F76" s="70"/>
      <c r="G76" s="70"/>
      <c r="H76" s="70"/>
      <c r="I76" s="70"/>
      <c r="J76" s="70"/>
      <c r="K76" s="70"/>
      <c r="L76" s="70"/>
      <c r="M76" s="70"/>
      <c r="N76" s="70"/>
      <c r="O76" s="70"/>
      <c r="P76" s="70"/>
      <c r="Q76" s="70"/>
      <c r="R76" s="70"/>
      <c r="S76" s="70"/>
      <c r="T76" s="70"/>
      <c r="U76" s="70"/>
    </row>
  </sheetData>
  <sheetProtection password="CE3F" sheet="1" selectLockedCells="1" selectUnlockedCells="1"/>
  <mergeCells count="6">
    <mergeCell ref="F7:K7"/>
    <mergeCell ref="F37:H37"/>
    <mergeCell ref="F8:K8"/>
    <mergeCell ref="H39:I39"/>
    <mergeCell ref="J39:K39"/>
    <mergeCell ref="K58:L58"/>
  </mergeCells>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W145"/>
  <sheetViews>
    <sheetView zoomScalePageLayoutView="0" workbookViewId="0" topLeftCell="A1">
      <selection activeCell="B1" sqref="B1"/>
    </sheetView>
  </sheetViews>
  <sheetFormatPr defaultColWidth="9.140625" defaultRowHeight="12.75"/>
  <cols>
    <col min="1" max="1" width="2.421875" style="0" customWidth="1"/>
    <col min="2" max="2" width="2.8515625" style="0" customWidth="1"/>
    <col min="3" max="3" width="2.421875" style="0" customWidth="1"/>
    <col min="4" max="4" width="37.00390625" style="0" customWidth="1"/>
    <col min="5" max="5" width="11.8515625" style="0" customWidth="1"/>
    <col min="6" max="6" width="2.140625" style="0" customWidth="1"/>
    <col min="7" max="7" width="11.8515625" style="0" customWidth="1"/>
    <col min="8" max="8" width="1.8515625" style="0" customWidth="1"/>
    <col min="9" max="9" width="11.00390625" style="0" customWidth="1"/>
    <col min="10" max="10" width="3.00390625" style="0" customWidth="1"/>
    <col min="11" max="11" width="2.140625" style="0" customWidth="1"/>
    <col min="12" max="12" width="3.28125" style="0" customWidth="1"/>
    <col min="14" max="14" width="14.421875" style="0" bestFit="1" customWidth="1"/>
  </cols>
  <sheetData>
    <row r="1" spans="1:23" ht="12.75">
      <c r="A1" s="4"/>
      <c r="B1" s="4"/>
      <c r="C1" s="4"/>
      <c r="D1" s="4"/>
      <c r="E1" s="4"/>
      <c r="F1" s="4"/>
      <c r="G1" s="4"/>
      <c r="H1" s="4"/>
      <c r="I1" s="4"/>
      <c r="J1" s="4"/>
      <c r="K1" s="4"/>
      <c r="L1" s="4"/>
      <c r="M1" s="4"/>
      <c r="N1" s="4"/>
      <c r="O1" s="4"/>
      <c r="P1" s="4"/>
      <c r="Q1" s="4"/>
      <c r="R1" s="4"/>
      <c r="S1" s="4"/>
      <c r="T1" s="4"/>
      <c r="U1" s="4"/>
      <c r="V1" s="4"/>
      <c r="W1" s="4"/>
    </row>
    <row r="2" spans="1:23" ht="12.75">
      <c r="A2" s="4"/>
      <c r="B2" s="11" t="s">
        <v>2</v>
      </c>
      <c r="C2" s="12"/>
      <c r="D2" s="12"/>
      <c r="E2" s="225" t="s">
        <v>330</v>
      </c>
      <c r="F2" s="226"/>
      <c r="G2" s="225" t="s">
        <v>331</v>
      </c>
      <c r="H2" s="226"/>
      <c r="I2" s="225" t="s">
        <v>332</v>
      </c>
      <c r="J2" s="12"/>
      <c r="K2" s="12"/>
      <c r="L2" s="4"/>
      <c r="M2" s="4"/>
      <c r="N2" s="4"/>
      <c r="O2" s="4"/>
      <c r="P2" s="4"/>
      <c r="Q2" s="4"/>
      <c r="R2" s="4"/>
      <c r="S2" s="4"/>
      <c r="T2" s="4"/>
      <c r="U2" s="4"/>
      <c r="V2" s="4"/>
      <c r="W2" s="4"/>
    </row>
    <row r="3" spans="1:23" ht="12.75">
      <c r="A3" s="4"/>
      <c r="B3" s="12"/>
      <c r="C3" s="4"/>
      <c r="D3" s="491" t="s">
        <v>54</v>
      </c>
      <c r="E3" s="492"/>
      <c r="F3" s="492"/>
      <c r="G3" s="492"/>
      <c r="H3" s="492"/>
      <c r="I3" s="492"/>
      <c r="J3" s="17"/>
      <c r="K3" s="12"/>
      <c r="L3" s="4"/>
      <c r="M3" s="4"/>
      <c r="N3" s="4"/>
      <c r="O3" s="4"/>
      <c r="P3" s="4"/>
      <c r="Q3" s="4"/>
      <c r="R3" s="4"/>
      <c r="S3" s="4"/>
      <c r="T3" s="4"/>
      <c r="U3" s="4"/>
      <c r="V3" s="4"/>
      <c r="W3" s="4"/>
    </row>
    <row r="4" spans="1:23" ht="12.75">
      <c r="A4" s="4"/>
      <c r="B4" s="12"/>
      <c r="C4" s="4"/>
      <c r="D4" s="491" t="s">
        <v>61</v>
      </c>
      <c r="E4" s="492"/>
      <c r="F4" s="492"/>
      <c r="G4" s="492"/>
      <c r="H4" s="492"/>
      <c r="I4" s="492"/>
      <c r="J4" s="17"/>
      <c r="K4" s="12"/>
      <c r="L4" s="4"/>
      <c r="M4" s="4"/>
      <c r="N4" s="4"/>
      <c r="O4" s="4"/>
      <c r="P4" s="4"/>
      <c r="Q4" s="4"/>
      <c r="R4" s="4"/>
      <c r="S4" s="4"/>
      <c r="T4" s="4"/>
      <c r="U4" s="4"/>
      <c r="V4" s="4"/>
      <c r="W4" s="4"/>
    </row>
    <row r="5" spans="1:23" ht="12.75">
      <c r="A5" s="4"/>
      <c r="B5" s="12"/>
      <c r="C5" s="4"/>
      <c r="D5" s="493" t="s">
        <v>62</v>
      </c>
      <c r="E5" s="492"/>
      <c r="F5" s="492"/>
      <c r="G5" s="492"/>
      <c r="H5" s="492"/>
      <c r="I5" s="492"/>
      <c r="J5" s="17"/>
      <c r="K5" s="12"/>
      <c r="L5" s="4"/>
      <c r="M5" s="4"/>
      <c r="N5" s="4"/>
      <c r="O5" s="4"/>
      <c r="P5" s="4"/>
      <c r="Q5" s="4"/>
      <c r="R5" s="4"/>
      <c r="S5" s="4"/>
      <c r="T5" s="4"/>
      <c r="U5" s="4"/>
      <c r="V5" s="4"/>
      <c r="W5" s="4"/>
    </row>
    <row r="6" spans="1:23" ht="12.75">
      <c r="A6" s="4"/>
      <c r="B6" s="12"/>
      <c r="C6" s="4"/>
      <c r="D6" s="157"/>
      <c r="E6" s="100"/>
      <c r="F6" s="100"/>
      <c r="G6" s="100"/>
      <c r="H6" s="100"/>
      <c r="I6" s="100"/>
      <c r="J6" s="17"/>
      <c r="K6" s="12"/>
      <c r="L6" s="4"/>
      <c r="M6" s="4"/>
      <c r="N6" s="4"/>
      <c r="O6" s="4"/>
      <c r="P6" s="4"/>
      <c r="Q6" s="4"/>
      <c r="R6" s="4"/>
      <c r="S6" s="4"/>
      <c r="T6" s="4"/>
      <c r="U6" s="4"/>
      <c r="V6" s="4"/>
      <c r="W6" s="4"/>
    </row>
    <row r="7" spans="1:23" ht="12.75">
      <c r="A7" s="4"/>
      <c r="B7" s="12"/>
      <c r="C7" s="4"/>
      <c r="D7" s="157"/>
      <c r="E7" s="489"/>
      <c r="F7" s="490"/>
      <c r="G7" s="489"/>
      <c r="H7" s="490"/>
      <c r="I7" s="489"/>
      <c r="J7" s="30"/>
      <c r="K7" s="50"/>
      <c r="L7" s="30"/>
      <c r="M7" s="16"/>
      <c r="N7" s="16"/>
      <c r="O7" s="4"/>
      <c r="P7" s="4"/>
      <c r="Q7" s="4"/>
      <c r="R7" s="4"/>
      <c r="S7" s="4"/>
      <c r="T7" s="4"/>
      <c r="U7" s="4"/>
      <c r="V7" s="4"/>
      <c r="W7" s="4"/>
    </row>
    <row r="8" spans="1:23" ht="12.75">
      <c r="A8" s="4"/>
      <c r="B8" s="12"/>
      <c r="C8" s="4"/>
      <c r="D8" s="94"/>
      <c r="E8" s="189" t="s">
        <v>23</v>
      </c>
      <c r="F8" s="190"/>
      <c r="G8" s="189" t="s">
        <v>24</v>
      </c>
      <c r="H8" s="190"/>
      <c r="I8" s="189" t="s">
        <v>60</v>
      </c>
      <c r="J8" s="19"/>
      <c r="K8" s="20"/>
      <c r="L8" s="19"/>
      <c r="M8" s="4"/>
      <c r="N8" s="4"/>
      <c r="O8" s="4"/>
      <c r="P8" s="4"/>
      <c r="Q8" s="4"/>
      <c r="R8" s="4"/>
      <c r="S8" s="4"/>
      <c r="T8" s="4"/>
      <c r="U8" s="4"/>
      <c r="V8" s="4"/>
      <c r="W8" s="4"/>
    </row>
    <row r="9" spans="1:23" ht="12.75">
      <c r="A9" s="4"/>
      <c r="B9" s="12"/>
      <c r="C9" s="4"/>
      <c r="D9" s="93" t="s">
        <v>25</v>
      </c>
      <c r="E9" s="93" t="s">
        <v>2</v>
      </c>
      <c r="F9" s="93"/>
      <c r="G9" s="94"/>
      <c r="H9" s="94"/>
      <c r="I9" s="94"/>
      <c r="J9" s="4"/>
      <c r="K9" s="12"/>
      <c r="L9" s="4"/>
      <c r="M9" s="32"/>
      <c r="N9" s="4"/>
      <c r="O9" s="4"/>
      <c r="P9" s="4"/>
      <c r="Q9" s="4"/>
      <c r="R9" s="4"/>
      <c r="S9" s="4"/>
      <c r="T9" s="4"/>
      <c r="U9" s="4"/>
      <c r="V9" s="4"/>
      <c r="W9" s="4"/>
    </row>
    <row r="10" spans="1:23" ht="12.75">
      <c r="A10" s="4"/>
      <c r="B10" s="12"/>
      <c r="C10" s="4"/>
      <c r="D10" s="93" t="s">
        <v>0</v>
      </c>
      <c r="E10" s="94"/>
      <c r="F10" s="94"/>
      <c r="G10" s="94"/>
      <c r="H10" s="94"/>
      <c r="I10" s="94"/>
      <c r="J10" s="4"/>
      <c r="K10" s="12"/>
      <c r="L10" s="4"/>
      <c r="M10" s="4"/>
      <c r="N10" s="4"/>
      <c r="O10" s="4"/>
      <c r="P10" s="4"/>
      <c r="Q10" s="4"/>
      <c r="R10" s="4"/>
      <c r="S10" s="4"/>
      <c r="T10" s="4"/>
      <c r="U10" s="4"/>
      <c r="V10" s="4"/>
      <c r="W10" s="4"/>
    </row>
    <row r="11" spans="1:23" ht="12.75">
      <c r="A11" s="4"/>
      <c r="B11" s="12"/>
      <c r="C11" s="4"/>
      <c r="D11" s="94" t="s">
        <v>27</v>
      </c>
      <c r="E11" s="111">
        <f>E47-((SUM(E12:E17)+E26))</f>
        <v>445023.5</v>
      </c>
      <c r="F11" s="111"/>
      <c r="G11" s="111">
        <f>G47-((SUM(G12:G17)+G26))</f>
        <v>118548.75</v>
      </c>
      <c r="H11" s="111"/>
      <c r="I11" s="111">
        <v>261000</v>
      </c>
      <c r="J11" s="27"/>
      <c r="K11" s="48"/>
      <c r="L11" s="23"/>
      <c r="M11" s="4"/>
      <c r="N11" s="46"/>
      <c r="O11" s="4"/>
      <c r="P11" s="4"/>
      <c r="Q11" s="4"/>
      <c r="R11" s="4"/>
      <c r="S11" s="4"/>
      <c r="T11" s="4"/>
      <c r="U11" s="4"/>
      <c r="V11" s="4"/>
      <c r="W11" s="4"/>
    </row>
    <row r="12" spans="1:23" ht="12.75">
      <c r="A12" s="4"/>
      <c r="B12" s="12"/>
      <c r="C12" s="4"/>
      <c r="D12" s="94" t="s">
        <v>49</v>
      </c>
      <c r="E12" s="111">
        <v>220000</v>
      </c>
      <c r="F12" s="111"/>
      <c r="G12" s="111">
        <v>220000</v>
      </c>
      <c r="H12" s="111"/>
      <c r="I12" s="111">
        <v>198500</v>
      </c>
      <c r="J12" s="27"/>
      <c r="K12" s="48"/>
      <c r="L12" s="23"/>
      <c r="M12" s="4"/>
      <c r="N12" s="46"/>
      <c r="O12" s="4"/>
      <c r="P12" s="4"/>
      <c r="Q12" s="4"/>
      <c r="R12" s="4"/>
      <c r="S12" s="4"/>
      <c r="T12" s="4"/>
      <c r="U12" s="4"/>
      <c r="V12" s="4"/>
      <c r="W12" s="4"/>
    </row>
    <row r="13" spans="1:23" ht="12.75">
      <c r="A13" s="4"/>
      <c r="B13" s="12"/>
      <c r="C13" s="4"/>
      <c r="D13" s="94" t="s">
        <v>28</v>
      </c>
      <c r="E13" s="111">
        <f>SUM(IncomeStatements!D10)*0.12</f>
        <v>609960</v>
      </c>
      <c r="F13" s="111"/>
      <c r="G13" s="111">
        <f>SUM(IncomeStatements!F10)*0.12</f>
        <v>717600</v>
      </c>
      <c r="H13" s="111"/>
      <c r="I13" s="111">
        <v>271503</v>
      </c>
      <c r="J13" s="27"/>
      <c r="K13" s="48"/>
      <c r="L13" s="23"/>
      <c r="M13" s="4"/>
      <c r="N13" s="46"/>
      <c r="O13" s="4"/>
      <c r="P13" s="4"/>
      <c r="Q13" s="4"/>
      <c r="R13" s="4"/>
      <c r="S13" s="4"/>
      <c r="T13" s="4"/>
      <c r="U13" s="4"/>
      <c r="V13" s="4"/>
      <c r="W13" s="4"/>
    </row>
    <row r="14" spans="1:23" ht="12.75">
      <c r="A14" s="4"/>
      <c r="B14" s="12"/>
      <c r="C14" s="4"/>
      <c r="D14" s="94" t="s">
        <v>56</v>
      </c>
      <c r="E14" s="111">
        <f>91573</f>
        <v>91573</v>
      </c>
      <c r="F14" s="111"/>
      <c r="G14" s="111">
        <f>SUM(IncomeStatements!H138)*0.04</f>
        <v>88808</v>
      </c>
      <c r="H14" s="111"/>
      <c r="I14" s="111">
        <f>SUM(IncomeStatements!H142)*0.04</f>
        <v>104480</v>
      </c>
      <c r="J14" s="4"/>
      <c r="K14" s="12"/>
      <c r="L14" s="27"/>
      <c r="M14" s="27"/>
      <c r="N14" s="25"/>
      <c r="O14" s="4"/>
      <c r="P14" s="4"/>
      <c r="Q14" s="4"/>
      <c r="R14" s="4"/>
      <c r="S14" s="4"/>
      <c r="T14" s="4"/>
      <c r="U14" s="4"/>
      <c r="V14" s="4"/>
      <c r="W14" s="4"/>
    </row>
    <row r="15" spans="1:23" ht="12.75">
      <c r="A15" s="4"/>
      <c r="B15" s="12"/>
      <c r="C15" s="4"/>
      <c r="D15" s="94" t="s">
        <v>57</v>
      </c>
      <c r="E15" s="111">
        <v>130260</v>
      </c>
      <c r="F15" s="111"/>
      <c r="G15" s="111">
        <f>SUM(IncomeStatements!H145)*0.03</f>
        <v>130260</v>
      </c>
      <c r="H15" s="111"/>
      <c r="I15" s="111">
        <f>SUM(IncomeStatements!H149)*0.03</f>
        <v>98820</v>
      </c>
      <c r="J15" s="27"/>
      <c r="K15" s="48"/>
      <c r="L15" s="23"/>
      <c r="M15" s="4"/>
      <c r="N15" s="46"/>
      <c r="O15" s="4"/>
      <c r="P15" s="4"/>
      <c r="Q15" s="4"/>
      <c r="R15" s="4"/>
      <c r="S15" s="4"/>
      <c r="T15" s="4"/>
      <c r="U15" s="4"/>
      <c r="V15" s="4"/>
      <c r="W15" s="4"/>
    </row>
    <row r="16" spans="1:23" ht="12.75">
      <c r="A16" s="4"/>
      <c r="B16" s="12"/>
      <c r="C16" s="4"/>
      <c r="D16" s="94" t="s">
        <v>58</v>
      </c>
      <c r="E16" s="111">
        <v>0</v>
      </c>
      <c r="F16" s="111"/>
      <c r="G16" s="111">
        <v>0</v>
      </c>
      <c r="H16" s="111"/>
      <c r="I16" s="111">
        <v>0</v>
      </c>
      <c r="J16" s="27"/>
      <c r="K16" s="48"/>
      <c r="L16" s="23"/>
      <c r="M16" s="4"/>
      <c r="N16" s="46"/>
      <c r="O16" s="4"/>
      <c r="P16" s="4"/>
      <c r="Q16" s="4"/>
      <c r="R16" s="4"/>
      <c r="S16" s="4"/>
      <c r="T16" s="4"/>
      <c r="U16" s="4"/>
      <c r="V16" s="4"/>
      <c r="W16" s="4"/>
    </row>
    <row r="17" spans="1:23" ht="12.75">
      <c r="A17" s="4"/>
      <c r="B17" s="12"/>
      <c r="C17" s="4"/>
      <c r="D17" s="94" t="s">
        <v>29</v>
      </c>
      <c r="E17" s="111">
        <v>110000</v>
      </c>
      <c r="F17" s="191"/>
      <c r="G17" s="111">
        <v>104000</v>
      </c>
      <c r="H17" s="191"/>
      <c r="I17" s="111">
        <v>95000</v>
      </c>
      <c r="J17" s="32"/>
      <c r="K17" s="63"/>
      <c r="L17" s="23"/>
      <c r="M17" s="4"/>
      <c r="N17" s="46"/>
      <c r="O17" s="4"/>
      <c r="P17" s="4"/>
      <c r="Q17" s="4"/>
      <c r="R17" s="4"/>
      <c r="S17" s="4"/>
      <c r="T17" s="4"/>
      <c r="U17" s="4"/>
      <c r="V17" s="4"/>
      <c r="W17" s="4"/>
    </row>
    <row r="18" spans="1:23" ht="12.75">
      <c r="A18" s="4"/>
      <c r="B18" s="12"/>
      <c r="C18" s="4"/>
      <c r="D18" s="93" t="s">
        <v>30</v>
      </c>
      <c r="E18" s="192">
        <f>SUM(E11:E17)</f>
        <v>1606816.5</v>
      </c>
      <c r="F18" s="191"/>
      <c r="G18" s="192">
        <f>SUM(G11:G17)</f>
        <v>1379216.75</v>
      </c>
      <c r="H18" s="191"/>
      <c r="I18" s="192">
        <f>SUM(I11:I17)</f>
        <v>1029303</v>
      </c>
      <c r="J18" s="31"/>
      <c r="K18" s="62"/>
      <c r="L18" s="23"/>
      <c r="M18" s="4"/>
      <c r="N18" s="46"/>
      <c r="O18" s="4"/>
      <c r="P18" s="4"/>
      <c r="Q18" s="4"/>
      <c r="R18" s="4"/>
      <c r="S18" s="4"/>
      <c r="T18" s="4"/>
      <c r="U18" s="4"/>
      <c r="V18" s="4"/>
      <c r="W18" s="4"/>
    </row>
    <row r="19" spans="1:23" ht="12.75">
      <c r="A19" s="4"/>
      <c r="B19" s="12"/>
      <c r="C19" s="4"/>
      <c r="D19" s="93" t="s">
        <v>26</v>
      </c>
      <c r="E19" s="111"/>
      <c r="F19" s="111"/>
      <c r="G19" s="111"/>
      <c r="H19" s="111"/>
      <c r="I19" s="111"/>
      <c r="J19" s="4"/>
      <c r="K19" s="12"/>
      <c r="L19" s="23"/>
      <c r="M19" s="4"/>
      <c r="N19" s="46"/>
      <c r="O19" s="4"/>
      <c r="P19" s="4"/>
      <c r="Q19" s="4"/>
      <c r="R19" s="4"/>
      <c r="S19" s="4"/>
      <c r="T19" s="4"/>
      <c r="U19" s="4"/>
      <c r="V19" s="4"/>
      <c r="W19" s="4"/>
    </row>
    <row r="20" spans="1:23" ht="12.75">
      <c r="A20" s="4"/>
      <c r="B20" s="12"/>
      <c r="C20" s="4"/>
      <c r="D20" s="94" t="s">
        <v>31</v>
      </c>
      <c r="E20" s="111">
        <v>100000</v>
      </c>
      <c r="F20" s="111"/>
      <c r="G20" s="111">
        <v>100000</v>
      </c>
      <c r="H20" s="111"/>
      <c r="I20" s="111">
        <v>100000</v>
      </c>
      <c r="J20" s="27"/>
      <c r="K20" s="48"/>
      <c r="L20" s="23"/>
      <c r="M20" s="4"/>
      <c r="N20" s="46"/>
      <c r="O20" s="4"/>
      <c r="P20" s="4"/>
      <c r="Q20" s="4"/>
      <c r="R20" s="4"/>
      <c r="S20" s="4"/>
      <c r="T20" s="4"/>
      <c r="U20" s="4"/>
      <c r="V20" s="4"/>
      <c r="W20" s="4"/>
    </row>
    <row r="21" spans="1:23" ht="12.75">
      <c r="A21" s="4"/>
      <c r="B21" s="12"/>
      <c r="C21" s="4"/>
      <c r="D21" s="94" t="s">
        <v>300</v>
      </c>
      <c r="E21" s="111">
        <v>2000000</v>
      </c>
      <c r="F21" s="111"/>
      <c r="G21" s="111">
        <v>2000000</v>
      </c>
      <c r="H21" s="111"/>
      <c r="I21" s="111">
        <v>2000000</v>
      </c>
      <c r="J21" s="27"/>
      <c r="K21" s="48"/>
      <c r="L21" s="23"/>
      <c r="M21" s="4"/>
      <c r="N21" s="46"/>
      <c r="O21" s="4"/>
      <c r="P21" s="4"/>
      <c r="Q21" s="4"/>
      <c r="R21" s="4"/>
      <c r="S21" s="4"/>
      <c r="T21" s="4"/>
      <c r="U21" s="4"/>
      <c r="V21" s="4"/>
      <c r="W21" s="4"/>
    </row>
    <row r="22" spans="1:23" ht="12.75">
      <c r="A22" s="4"/>
      <c r="B22" s="12"/>
      <c r="C22" s="4"/>
      <c r="D22" s="94" t="s">
        <v>301</v>
      </c>
      <c r="E22" s="111">
        <v>800000</v>
      </c>
      <c r="F22" s="111"/>
      <c r="G22" s="111">
        <v>800000</v>
      </c>
      <c r="H22" s="111"/>
      <c r="I22" s="111">
        <v>800000</v>
      </c>
      <c r="J22" s="27"/>
      <c r="K22" s="48"/>
      <c r="L22" s="23"/>
      <c r="M22" s="4"/>
      <c r="N22" s="46"/>
      <c r="O22" s="4"/>
      <c r="P22" s="4"/>
      <c r="Q22" s="4"/>
      <c r="R22" s="4"/>
      <c r="S22" s="4"/>
      <c r="T22" s="4"/>
      <c r="U22" s="4"/>
      <c r="V22" s="4"/>
      <c r="W22" s="4"/>
    </row>
    <row r="23" spans="1:23" ht="12.75">
      <c r="A23" s="4"/>
      <c r="B23" s="12"/>
      <c r="C23" s="4"/>
      <c r="D23" s="94" t="s">
        <v>32</v>
      </c>
      <c r="E23" s="143">
        <v>500000</v>
      </c>
      <c r="F23" s="193"/>
      <c r="G23" s="143">
        <v>500000</v>
      </c>
      <c r="H23" s="193"/>
      <c r="I23" s="143">
        <v>500000</v>
      </c>
      <c r="J23" s="31"/>
      <c r="K23" s="62"/>
      <c r="L23" s="23"/>
      <c r="M23" s="4"/>
      <c r="N23" s="46"/>
      <c r="O23" s="4"/>
      <c r="P23" s="4"/>
      <c r="Q23" s="4"/>
      <c r="R23" s="4"/>
      <c r="S23" s="4"/>
      <c r="T23" s="4"/>
      <c r="U23" s="4"/>
      <c r="V23" s="4"/>
      <c r="W23" s="4"/>
    </row>
    <row r="24" spans="1:23" ht="12.75">
      <c r="A24" s="4"/>
      <c r="B24" s="12"/>
      <c r="C24" s="4"/>
      <c r="D24" s="94"/>
      <c r="E24" s="192">
        <f>SUM(E20:E23)</f>
        <v>3400000</v>
      </c>
      <c r="F24" s="111"/>
      <c r="G24" s="192">
        <f>SUM(G20:G23)</f>
        <v>3400000</v>
      </c>
      <c r="H24" s="111"/>
      <c r="I24" s="192">
        <f>SUM(I20:I23)</f>
        <v>3400000</v>
      </c>
      <c r="J24" s="27"/>
      <c r="K24" s="48"/>
      <c r="L24" s="23"/>
      <c r="M24" s="4"/>
      <c r="N24" s="68"/>
      <c r="O24" s="4"/>
      <c r="P24" s="4"/>
      <c r="Q24" s="4"/>
      <c r="R24" s="4"/>
      <c r="S24" s="4"/>
      <c r="T24" s="4"/>
      <c r="U24" s="4"/>
      <c r="V24" s="4"/>
      <c r="W24" s="4"/>
    </row>
    <row r="25" spans="1:23" ht="12.75">
      <c r="A25" s="4"/>
      <c r="B25" s="12"/>
      <c r="C25" s="4"/>
      <c r="D25" s="94" t="s">
        <v>33</v>
      </c>
      <c r="E25" s="199">
        <v>-690000</v>
      </c>
      <c r="F25" s="198"/>
      <c r="G25" s="199">
        <v>-460000</v>
      </c>
      <c r="H25" s="198"/>
      <c r="I25" s="199">
        <v>-230000</v>
      </c>
      <c r="J25" s="27"/>
      <c r="K25" s="48"/>
      <c r="L25" s="23"/>
      <c r="M25" s="4"/>
      <c r="N25" s="46"/>
      <c r="O25" s="4"/>
      <c r="P25" s="4"/>
      <c r="Q25" s="4"/>
      <c r="R25" s="4"/>
      <c r="S25" s="4"/>
      <c r="T25" s="4"/>
      <c r="U25" s="4"/>
      <c r="V25" s="4"/>
      <c r="W25" s="4"/>
    </row>
    <row r="26" spans="1:23" ht="12.75">
      <c r="A26" s="4"/>
      <c r="B26" s="12"/>
      <c r="C26" s="4"/>
      <c r="D26" s="94" t="s">
        <v>34</v>
      </c>
      <c r="E26" s="111">
        <f>E24+E25</f>
        <v>2710000</v>
      </c>
      <c r="F26" s="111"/>
      <c r="G26" s="111">
        <f>G24+G25</f>
        <v>2940000</v>
      </c>
      <c r="H26" s="111"/>
      <c r="I26" s="111">
        <f>I24+I25</f>
        <v>3170000</v>
      </c>
      <c r="J26" s="31"/>
      <c r="K26" s="62"/>
      <c r="L26" s="23"/>
      <c r="M26" s="4"/>
      <c r="N26" s="46"/>
      <c r="O26" s="4"/>
      <c r="P26" s="4"/>
      <c r="Q26" s="4"/>
      <c r="R26" s="4"/>
      <c r="S26" s="4"/>
      <c r="T26" s="4"/>
      <c r="U26" s="4"/>
      <c r="V26" s="4"/>
      <c r="W26" s="4"/>
    </row>
    <row r="27" spans="1:23" ht="13.5" thickBot="1">
      <c r="A27" s="4"/>
      <c r="B27" s="12"/>
      <c r="C27" s="4"/>
      <c r="D27" s="93" t="s">
        <v>35</v>
      </c>
      <c r="E27" s="194">
        <f>E18+E26</f>
        <v>4316816.5</v>
      </c>
      <c r="F27" s="143"/>
      <c r="G27" s="194">
        <f>G18+G26</f>
        <v>4319216.75</v>
      </c>
      <c r="H27" s="143"/>
      <c r="I27" s="194">
        <f>I18+I26</f>
        <v>4199303</v>
      </c>
      <c r="J27" s="31"/>
      <c r="K27" s="62"/>
      <c r="L27" s="23"/>
      <c r="M27" s="4"/>
      <c r="N27" s="46"/>
      <c r="O27" s="4"/>
      <c r="P27" s="4"/>
      <c r="Q27" s="4"/>
      <c r="R27" s="4"/>
      <c r="S27" s="4"/>
      <c r="T27" s="4"/>
      <c r="U27" s="4"/>
      <c r="V27" s="4"/>
      <c r="W27" s="4"/>
    </row>
    <row r="28" spans="1:23" ht="13.5" thickTop="1">
      <c r="A28" s="4"/>
      <c r="B28" s="12"/>
      <c r="C28" s="4"/>
      <c r="D28" s="94"/>
      <c r="E28" s="111"/>
      <c r="F28" s="111"/>
      <c r="G28" s="111"/>
      <c r="H28" s="111"/>
      <c r="I28" s="111"/>
      <c r="J28" s="4"/>
      <c r="K28" s="12"/>
      <c r="L28" s="23"/>
      <c r="M28" s="4"/>
      <c r="N28" s="46"/>
      <c r="O28" s="4"/>
      <c r="P28" s="4"/>
      <c r="Q28" s="4"/>
      <c r="R28" s="4"/>
      <c r="S28" s="4"/>
      <c r="T28" s="4"/>
      <c r="U28" s="4"/>
      <c r="V28" s="4"/>
      <c r="W28" s="4"/>
    </row>
    <row r="29" spans="1:23" ht="12.75">
      <c r="A29" s="4"/>
      <c r="B29" s="12"/>
      <c r="C29" s="4"/>
      <c r="D29" s="93" t="s">
        <v>36</v>
      </c>
      <c r="E29" s="111"/>
      <c r="F29" s="111"/>
      <c r="G29" s="111"/>
      <c r="H29" s="111"/>
      <c r="I29" s="111"/>
      <c r="J29" s="4"/>
      <c r="K29" s="12"/>
      <c r="L29" s="23"/>
      <c r="M29" s="4"/>
      <c r="N29" s="46"/>
      <c r="O29" s="4"/>
      <c r="P29" s="4"/>
      <c r="Q29" s="4"/>
      <c r="R29" s="4"/>
      <c r="S29" s="4"/>
      <c r="T29" s="4"/>
      <c r="U29" s="4"/>
      <c r="V29" s="4"/>
      <c r="W29" s="4"/>
    </row>
    <row r="30" spans="1:23" ht="12.75">
      <c r="A30" s="4"/>
      <c r="B30" s="12"/>
      <c r="C30" s="4"/>
      <c r="D30" s="93" t="s">
        <v>1</v>
      </c>
      <c r="E30" s="187" t="s">
        <v>2</v>
      </c>
      <c r="F30" s="187"/>
      <c r="G30" s="111"/>
      <c r="H30" s="111"/>
      <c r="I30" s="111"/>
      <c r="J30" s="4"/>
      <c r="K30" s="12"/>
      <c r="L30" s="23"/>
      <c r="M30" s="4"/>
      <c r="N30" s="46"/>
      <c r="O30" s="4"/>
      <c r="P30" s="4"/>
      <c r="Q30" s="4"/>
      <c r="R30" s="4"/>
      <c r="S30" s="4"/>
      <c r="T30" s="4"/>
      <c r="U30" s="4"/>
      <c r="V30" s="4"/>
      <c r="W30" s="4"/>
    </row>
    <row r="31" spans="1:23" ht="12.75">
      <c r="A31" s="4"/>
      <c r="B31" s="12"/>
      <c r="C31" s="4"/>
      <c r="D31" s="94" t="s">
        <v>40</v>
      </c>
      <c r="E31" s="111">
        <f>SUM(IncomeStatements!F131)*653*0.1</f>
        <v>261200</v>
      </c>
      <c r="F31" s="111"/>
      <c r="G31" s="111">
        <f>SUM(IncomeStatements!F133)*653*0.1</f>
        <v>195900</v>
      </c>
      <c r="H31" s="111"/>
      <c r="I31" s="111">
        <v>67080</v>
      </c>
      <c r="J31" s="27"/>
      <c r="K31" s="48"/>
      <c r="L31" s="23"/>
      <c r="M31" s="4"/>
      <c r="N31" s="46"/>
      <c r="O31" s="4"/>
      <c r="P31" s="4"/>
      <c r="Q31" s="4"/>
      <c r="R31" s="4"/>
      <c r="S31" s="4"/>
      <c r="T31" s="4"/>
      <c r="U31" s="4"/>
      <c r="V31" s="4"/>
      <c r="W31" s="4"/>
    </row>
    <row r="32" spans="1:23" ht="12.75">
      <c r="A32" s="4"/>
      <c r="B32" s="12"/>
      <c r="C32" s="4"/>
      <c r="D32" s="94" t="s">
        <v>37</v>
      </c>
      <c r="E32" s="111">
        <v>13000</v>
      </c>
      <c r="F32" s="111"/>
      <c r="G32" s="111">
        <v>12800</v>
      </c>
      <c r="H32" s="111"/>
      <c r="I32" s="111">
        <v>16000</v>
      </c>
      <c r="J32" s="27"/>
      <c r="K32" s="48"/>
      <c r="L32" s="23"/>
      <c r="M32" s="4"/>
      <c r="N32" s="46"/>
      <c r="O32" s="4"/>
      <c r="P32" s="4"/>
      <c r="Q32" s="4"/>
      <c r="R32" s="4"/>
      <c r="S32" s="4"/>
      <c r="T32" s="4"/>
      <c r="U32" s="4"/>
      <c r="V32" s="4"/>
      <c r="W32" s="4"/>
    </row>
    <row r="33" spans="1:23" ht="12.75">
      <c r="A33" s="4"/>
      <c r="B33" s="12"/>
      <c r="C33" s="4"/>
      <c r="D33" s="94" t="s">
        <v>38</v>
      </c>
      <c r="E33" s="111">
        <v>26000</v>
      </c>
      <c r="F33" s="191"/>
      <c r="G33" s="111">
        <v>25000</v>
      </c>
      <c r="H33" s="191"/>
      <c r="I33" s="111">
        <v>22000</v>
      </c>
      <c r="J33" s="31"/>
      <c r="K33" s="62"/>
      <c r="L33" s="23"/>
      <c r="M33" s="4"/>
      <c r="N33" s="46"/>
      <c r="O33" s="4"/>
      <c r="P33" s="4"/>
      <c r="Q33" s="4"/>
      <c r="R33" s="4"/>
      <c r="S33" s="4"/>
      <c r="T33" s="4"/>
      <c r="U33" s="4"/>
      <c r="V33" s="4"/>
      <c r="W33" s="4"/>
    </row>
    <row r="34" spans="1:23" ht="12.75">
      <c r="A34" s="4"/>
      <c r="B34" s="12"/>
      <c r="C34" s="4"/>
      <c r="D34" s="94" t="s">
        <v>39</v>
      </c>
      <c r="E34" s="192">
        <f>SUM(E31:E33)</f>
        <v>300200</v>
      </c>
      <c r="F34" s="111"/>
      <c r="G34" s="192">
        <f>SUM(G31:G33)</f>
        <v>233700</v>
      </c>
      <c r="H34" s="111"/>
      <c r="I34" s="192">
        <f>SUM(I31:I33)</f>
        <v>105080</v>
      </c>
      <c r="J34" s="27"/>
      <c r="K34" s="48"/>
      <c r="L34" s="23"/>
      <c r="M34" s="4"/>
      <c r="N34" s="46"/>
      <c r="O34" s="4"/>
      <c r="P34" s="4"/>
      <c r="Q34" s="4"/>
      <c r="R34" s="4"/>
      <c r="S34" s="4"/>
      <c r="T34" s="4"/>
      <c r="U34" s="4"/>
      <c r="V34" s="4"/>
      <c r="W34" s="4"/>
    </row>
    <row r="35" spans="1:23" ht="12.75">
      <c r="A35" s="4"/>
      <c r="B35" s="12"/>
      <c r="C35" s="4"/>
      <c r="D35" s="93" t="s">
        <v>9</v>
      </c>
      <c r="E35" s="111"/>
      <c r="F35" s="111"/>
      <c r="G35" s="111"/>
      <c r="H35" s="111"/>
      <c r="I35" s="111"/>
      <c r="J35" s="4"/>
      <c r="K35" s="12"/>
      <c r="L35" s="23"/>
      <c r="M35" s="4"/>
      <c r="N35" s="46"/>
      <c r="O35" s="4"/>
      <c r="P35" s="4"/>
      <c r="Q35" s="4"/>
      <c r="R35" s="4"/>
      <c r="S35" s="4"/>
      <c r="T35" s="4"/>
      <c r="U35" s="4"/>
      <c r="V35" s="4"/>
      <c r="W35" s="4"/>
    </row>
    <row r="36" spans="1:23" ht="12.75">
      <c r="A36" s="4"/>
      <c r="B36" s="12"/>
      <c r="C36" s="4"/>
      <c r="D36" s="94" t="s">
        <v>85</v>
      </c>
      <c r="E36" s="111">
        <v>1600000</v>
      </c>
      <c r="F36" s="111"/>
      <c r="G36" s="111">
        <v>1700000</v>
      </c>
      <c r="H36" s="111"/>
      <c r="I36" s="111">
        <v>1800000</v>
      </c>
      <c r="J36" s="27"/>
      <c r="K36" s="48"/>
      <c r="L36" s="23"/>
      <c r="M36" s="4"/>
      <c r="N36" s="46"/>
      <c r="O36" s="4"/>
      <c r="P36" s="4"/>
      <c r="Q36" s="4"/>
      <c r="R36" s="4"/>
      <c r="S36" s="4"/>
      <c r="T36" s="4"/>
      <c r="U36" s="4"/>
      <c r="V36" s="4"/>
      <c r="W36" s="4"/>
    </row>
    <row r="37" spans="1:23" ht="12.75">
      <c r="A37" s="4"/>
      <c r="B37" s="12"/>
      <c r="C37" s="4"/>
      <c r="D37" s="94" t="s">
        <v>41</v>
      </c>
      <c r="E37" s="111">
        <v>80000</v>
      </c>
      <c r="F37" s="191"/>
      <c r="G37" s="182">
        <v>85000</v>
      </c>
      <c r="H37" s="191"/>
      <c r="I37" s="111">
        <v>90000</v>
      </c>
      <c r="J37" s="32"/>
      <c r="K37" s="63"/>
      <c r="L37" s="23"/>
      <c r="M37" s="4"/>
      <c r="N37" s="69"/>
      <c r="O37" s="4"/>
      <c r="P37" s="4"/>
      <c r="Q37" s="4"/>
      <c r="R37" s="4"/>
      <c r="S37" s="4"/>
      <c r="T37" s="4"/>
      <c r="U37" s="4"/>
      <c r="V37" s="4"/>
      <c r="W37" s="4"/>
    </row>
    <row r="38" spans="1:23" ht="12.75">
      <c r="A38" s="4"/>
      <c r="B38" s="12"/>
      <c r="C38" s="4"/>
      <c r="D38" s="94" t="s">
        <v>42</v>
      </c>
      <c r="E38" s="192">
        <f>E36+E37</f>
        <v>1680000</v>
      </c>
      <c r="F38" s="111"/>
      <c r="G38" s="182">
        <f>G36+G37</f>
        <v>1785000</v>
      </c>
      <c r="H38" s="111"/>
      <c r="I38" s="192">
        <f>I36+I37</f>
        <v>1890000</v>
      </c>
      <c r="J38" s="4"/>
      <c r="K38" s="12"/>
      <c r="L38" s="23"/>
      <c r="M38" s="4"/>
      <c r="N38" s="46"/>
      <c r="O38" s="4"/>
      <c r="P38" s="4"/>
      <c r="Q38" s="4"/>
      <c r="R38" s="4"/>
      <c r="S38" s="4"/>
      <c r="T38" s="4"/>
      <c r="U38" s="4"/>
      <c r="V38" s="4"/>
      <c r="W38" s="4"/>
    </row>
    <row r="39" spans="1:23" ht="12.75">
      <c r="A39" s="4"/>
      <c r="B39" s="12"/>
      <c r="C39" s="4"/>
      <c r="D39" s="93" t="s">
        <v>43</v>
      </c>
      <c r="E39" s="192">
        <f>E34+E38</f>
        <v>1980200</v>
      </c>
      <c r="F39" s="111"/>
      <c r="G39" s="192">
        <f>G34+G38</f>
        <v>2018700</v>
      </c>
      <c r="H39" s="111"/>
      <c r="I39" s="192">
        <f>I34+I38</f>
        <v>1995080</v>
      </c>
      <c r="J39" s="27"/>
      <c r="K39" s="48"/>
      <c r="L39" s="23"/>
      <c r="M39" s="4"/>
      <c r="N39" s="46"/>
      <c r="O39" s="4"/>
      <c r="P39" s="4"/>
      <c r="Q39" s="4"/>
      <c r="R39" s="4"/>
      <c r="S39" s="4"/>
      <c r="T39" s="4"/>
      <c r="U39" s="4"/>
      <c r="V39" s="4"/>
      <c r="W39" s="4"/>
    </row>
    <row r="40" spans="1:23" ht="12.75">
      <c r="A40" s="4"/>
      <c r="B40" s="12"/>
      <c r="C40" s="4"/>
      <c r="D40" s="94"/>
      <c r="E40" s="111"/>
      <c r="F40" s="111"/>
      <c r="G40" s="111"/>
      <c r="H40" s="111"/>
      <c r="I40" s="111"/>
      <c r="J40" s="4"/>
      <c r="K40" s="12"/>
      <c r="L40" s="23"/>
      <c r="M40" s="4"/>
      <c r="N40" s="46"/>
      <c r="O40" s="4"/>
      <c r="P40" s="4"/>
      <c r="Q40" s="4"/>
      <c r="R40" s="4"/>
      <c r="S40" s="4"/>
      <c r="T40" s="4"/>
      <c r="U40" s="4"/>
      <c r="V40" s="4"/>
      <c r="W40" s="4"/>
    </row>
    <row r="41" spans="1:23" ht="12.75">
      <c r="A41" s="4"/>
      <c r="B41" s="12"/>
      <c r="C41" s="4"/>
      <c r="D41" s="93" t="s">
        <v>44</v>
      </c>
      <c r="E41" s="111"/>
      <c r="F41" s="111"/>
      <c r="G41" s="111"/>
      <c r="H41" s="111"/>
      <c r="I41" s="111"/>
      <c r="J41" s="4"/>
      <c r="K41" s="12"/>
      <c r="L41" s="23"/>
      <c r="M41" s="4"/>
      <c r="N41" s="46"/>
      <c r="O41" s="4"/>
      <c r="P41" s="4"/>
      <c r="Q41" s="4"/>
      <c r="R41" s="4"/>
      <c r="S41" s="4"/>
      <c r="T41" s="4"/>
      <c r="U41" s="4"/>
      <c r="V41" s="4"/>
      <c r="W41" s="4"/>
    </row>
    <row r="42" spans="1:23" ht="12.75">
      <c r="A42" s="4"/>
      <c r="B42" s="12"/>
      <c r="C42" s="4"/>
      <c r="D42" s="94" t="s">
        <v>83</v>
      </c>
      <c r="E42" s="111">
        <v>1000000</v>
      </c>
      <c r="F42" s="111"/>
      <c r="G42" s="111">
        <v>1000000</v>
      </c>
      <c r="H42" s="111"/>
      <c r="I42" s="111">
        <v>1000000</v>
      </c>
      <c r="J42" s="4"/>
      <c r="K42" s="12"/>
      <c r="L42" s="23"/>
      <c r="M42" s="4"/>
      <c r="N42" s="46"/>
      <c r="O42" s="4"/>
      <c r="P42" s="4"/>
      <c r="Q42" s="4"/>
      <c r="R42" s="4"/>
      <c r="S42" s="4"/>
      <c r="T42" s="4"/>
      <c r="U42" s="4"/>
      <c r="V42" s="4"/>
      <c r="W42" s="4"/>
    </row>
    <row r="43" spans="1:23" ht="12.75">
      <c r="A43" s="4"/>
      <c r="B43" s="12"/>
      <c r="C43" s="4"/>
      <c r="D43" s="94" t="s">
        <v>45</v>
      </c>
      <c r="E43" s="111">
        <v>225000</v>
      </c>
      <c r="F43" s="111"/>
      <c r="G43" s="111">
        <v>225000</v>
      </c>
      <c r="H43" s="111"/>
      <c r="I43" s="111">
        <v>225000</v>
      </c>
      <c r="J43" s="27"/>
      <c r="K43" s="48"/>
      <c r="L43" s="23"/>
      <c r="M43" s="4"/>
      <c r="N43" s="46"/>
      <c r="O43" s="4"/>
      <c r="P43" s="4"/>
      <c r="Q43" s="4"/>
      <c r="R43" s="4"/>
      <c r="S43" s="4"/>
      <c r="T43" s="4"/>
      <c r="U43" s="4"/>
      <c r="V43" s="4"/>
      <c r="W43" s="4"/>
    </row>
    <row r="44" spans="1:23" ht="12.75">
      <c r="A44" s="4"/>
      <c r="B44" s="12"/>
      <c r="C44" s="4"/>
      <c r="D44" s="94" t="s">
        <v>46</v>
      </c>
      <c r="E44" s="111">
        <f>G44+SUM(IncomeStatements!D44)</f>
        <v>1211616.5</v>
      </c>
      <c r="F44" s="111"/>
      <c r="G44" s="111">
        <f>I44+SUM(IncomeStatements!F44)</f>
        <v>1175516.75</v>
      </c>
      <c r="H44" s="111"/>
      <c r="I44" s="111">
        <f>I27-SUM(I39:I43)</f>
        <v>979223</v>
      </c>
      <c r="J44" s="35"/>
      <c r="K44" s="64"/>
      <c r="L44" s="23"/>
      <c r="M44" s="4"/>
      <c r="N44" s="46"/>
      <c r="O44" s="4"/>
      <c r="P44" s="4"/>
      <c r="Q44" s="4"/>
      <c r="R44" s="4"/>
      <c r="S44" s="4"/>
      <c r="T44" s="4"/>
      <c r="U44" s="4"/>
      <c r="V44" s="4"/>
      <c r="W44" s="4"/>
    </row>
    <row r="45" spans="1:23" ht="12.75">
      <c r="A45" s="4"/>
      <c r="B45" s="12"/>
      <c r="C45" s="4"/>
      <c r="D45" s="94" t="s">
        <v>404</v>
      </c>
      <c r="E45" s="200">
        <v>-100000</v>
      </c>
      <c r="F45" s="198"/>
      <c r="G45" s="200">
        <v>-100000</v>
      </c>
      <c r="H45" s="201"/>
      <c r="I45" s="202">
        <v>0</v>
      </c>
      <c r="J45" s="31"/>
      <c r="K45" s="62"/>
      <c r="L45" s="23"/>
      <c r="M45" s="4"/>
      <c r="N45" s="46"/>
      <c r="O45" s="4"/>
      <c r="P45" s="4"/>
      <c r="Q45" s="4"/>
      <c r="R45" s="4"/>
      <c r="S45" s="4"/>
      <c r="T45" s="4"/>
      <c r="U45" s="4"/>
      <c r="V45" s="4"/>
      <c r="W45" s="4"/>
    </row>
    <row r="46" spans="1:23" ht="12.75">
      <c r="A46" s="4"/>
      <c r="B46" s="12"/>
      <c r="C46" s="4"/>
      <c r="D46" s="94" t="s">
        <v>47</v>
      </c>
      <c r="E46" s="111">
        <f>SUM(E42:E45)</f>
        <v>2336616.5</v>
      </c>
      <c r="F46" s="111"/>
      <c r="G46" s="111">
        <f>SUM(G42:G45)</f>
        <v>2300516.75</v>
      </c>
      <c r="H46" s="111"/>
      <c r="I46" s="111">
        <f>SUM(I42:I45)</f>
        <v>2204223</v>
      </c>
      <c r="J46" s="32"/>
      <c r="K46" s="63"/>
      <c r="L46" s="23"/>
      <c r="M46" s="4"/>
      <c r="N46" s="46"/>
      <c r="O46" s="4"/>
      <c r="P46" s="4"/>
      <c r="Q46" s="4"/>
      <c r="R46" s="4"/>
      <c r="S46" s="4"/>
      <c r="T46" s="4"/>
      <c r="U46" s="4"/>
      <c r="V46" s="4"/>
      <c r="W46" s="4"/>
    </row>
    <row r="47" spans="1:23" ht="13.5" thickBot="1">
      <c r="A47" s="4"/>
      <c r="B47" s="12"/>
      <c r="C47" s="4"/>
      <c r="D47" s="93" t="s">
        <v>48</v>
      </c>
      <c r="E47" s="194">
        <f>E39+E46</f>
        <v>4316816.5</v>
      </c>
      <c r="F47" s="193"/>
      <c r="G47" s="194">
        <f>G39+G46</f>
        <v>4319216.75</v>
      </c>
      <c r="H47" s="193"/>
      <c r="I47" s="194">
        <f>I39+I46</f>
        <v>4199303</v>
      </c>
      <c r="J47" s="34"/>
      <c r="K47" s="62"/>
      <c r="L47" s="23"/>
      <c r="M47" s="4"/>
      <c r="N47" s="46"/>
      <c r="O47" s="4"/>
      <c r="P47" s="4"/>
      <c r="Q47" s="4"/>
      <c r="R47" s="4"/>
      <c r="S47" s="4"/>
      <c r="T47" s="4"/>
      <c r="U47" s="4"/>
      <c r="V47" s="4"/>
      <c r="W47" s="4"/>
    </row>
    <row r="48" spans="1:23" ht="13.5" thickTop="1">
      <c r="A48" s="4"/>
      <c r="B48" s="12"/>
      <c r="C48" s="4"/>
      <c r="D48" s="4"/>
      <c r="E48" s="4"/>
      <c r="F48" s="4"/>
      <c r="G48" s="4"/>
      <c r="H48" s="4"/>
      <c r="I48" s="4"/>
      <c r="J48" s="4"/>
      <c r="K48" s="12"/>
      <c r="L48" s="4"/>
      <c r="M48" s="4"/>
      <c r="N48" s="4"/>
      <c r="O48" s="4"/>
      <c r="P48" s="4"/>
      <c r="Q48" s="4"/>
      <c r="R48" s="4"/>
      <c r="S48" s="4"/>
      <c r="T48" s="4"/>
      <c r="U48" s="4"/>
      <c r="V48" s="4"/>
      <c r="W48" s="4"/>
    </row>
    <row r="49" spans="1:23" ht="12.75">
      <c r="A49" s="4"/>
      <c r="B49" s="12"/>
      <c r="C49" s="12"/>
      <c r="D49" s="12"/>
      <c r="E49" s="12"/>
      <c r="F49" s="12"/>
      <c r="G49" s="12"/>
      <c r="H49" s="12"/>
      <c r="I49" s="12"/>
      <c r="J49" s="12"/>
      <c r="K49" s="12"/>
      <c r="L49" s="4"/>
      <c r="M49" s="4"/>
      <c r="N49" s="4"/>
      <c r="O49" s="4"/>
      <c r="P49" s="4"/>
      <c r="Q49" s="4"/>
      <c r="R49" s="4"/>
      <c r="S49" s="4"/>
      <c r="T49" s="4"/>
      <c r="U49" s="4"/>
      <c r="V49" s="4"/>
      <c r="W49" s="4"/>
    </row>
    <row r="50" spans="1:23" ht="12.75">
      <c r="A50" s="4"/>
      <c r="B50" s="4"/>
      <c r="C50" s="4"/>
      <c r="D50" s="4"/>
      <c r="E50" s="18"/>
      <c r="F50" s="4"/>
      <c r="G50" s="18"/>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pans="1:23" ht="12.75">
      <c r="A58" s="4"/>
      <c r="B58" s="4"/>
      <c r="C58" s="4"/>
      <c r="D58" s="4"/>
      <c r="E58" s="4"/>
      <c r="F58" s="4"/>
      <c r="G58" s="4"/>
      <c r="H58" s="4"/>
      <c r="I58" s="4"/>
      <c r="J58" s="4"/>
      <c r="K58" s="4"/>
      <c r="L58" s="4"/>
      <c r="M58" s="4"/>
      <c r="N58" s="4"/>
      <c r="O58" s="4"/>
      <c r="P58" s="4"/>
      <c r="Q58" s="4"/>
      <c r="R58" s="4"/>
      <c r="S58" s="4"/>
      <c r="T58" s="4"/>
      <c r="U58" s="4"/>
      <c r="V58" s="4"/>
      <c r="W58" s="4"/>
    </row>
    <row r="59" spans="1:23" ht="12.75">
      <c r="A59" s="4"/>
      <c r="B59" s="4"/>
      <c r="C59" s="4"/>
      <c r="D59" s="4"/>
      <c r="E59" s="4"/>
      <c r="F59" s="4"/>
      <c r="G59" s="4"/>
      <c r="H59" s="4"/>
      <c r="I59" s="4"/>
      <c r="J59" s="4"/>
      <c r="K59" s="4"/>
      <c r="L59" s="4"/>
      <c r="M59" s="4"/>
      <c r="N59" s="4"/>
      <c r="O59" s="4"/>
      <c r="P59" s="4"/>
      <c r="Q59" s="4"/>
      <c r="R59" s="4"/>
      <c r="S59" s="4"/>
      <c r="T59" s="4"/>
      <c r="U59" s="4"/>
      <c r="V59" s="4"/>
      <c r="W59" s="4"/>
    </row>
    <row r="60" spans="1:23" ht="12.75">
      <c r="A60" s="4"/>
      <c r="B60" s="4"/>
      <c r="C60" s="4"/>
      <c r="D60" s="4"/>
      <c r="E60" s="4"/>
      <c r="F60" s="4"/>
      <c r="G60" s="4"/>
      <c r="H60" s="4"/>
      <c r="I60" s="4"/>
      <c r="J60" s="4"/>
      <c r="K60" s="4"/>
      <c r="L60" s="4"/>
      <c r="M60" s="4"/>
      <c r="N60" s="4"/>
      <c r="O60" s="4"/>
      <c r="P60" s="4"/>
      <c r="Q60" s="4"/>
      <c r="R60" s="4"/>
      <c r="S60" s="4"/>
      <c r="T60" s="4"/>
      <c r="U60" s="4"/>
      <c r="V60" s="4"/>
      <c r="W60" s="4"/>
    </row>
    <row r="61" spans="1:23" ht="12.75">
      <c r="A61" s="4"/>
      <c r="B61" s="4"/>
      <c r="C61" s="4"/>
      <c r="D61" s="4"/>
      <c r="E61" s="4"/>
      <c r="F61" s="4"/>
      <c r="G61" s="4"/>
      <c r="H61" s="4"/>
      <c r="I61" s="4"/>
      <c r="J61" s="4"/>
      <c r="K61" s="4"/>
      <c r="L61" s="4"/>
      <c r="M61" s="4"/>
      <c r="N61" s="4"/>
      <c r="O61" s="4"/>
      <c r="P61" s="4"/>
      <c r="Q61" s="4"/>
      <c r="R61" s="4"/>
      <c r="S61" s="4"/>
      <c r="T61" s="4"/>
      <c r="U61" s="4"/>
      <c r="V61" s="4"/>
      <c r="W61" s="4"/>
    </row>
    <row r="62" spans="1:23" ht="12.75">
      <c r="A62" s="4"/>
      <c r="B62" s="4"/>
      <c r="C62" s="4"/>
      <c r="D62" s="4"/>
      <c r="E62" s="4"/>
      <c r="F62" s="4"/>
      <c r="G62" s="4"/>
      <c r="H62" s="4"/>
      <c r="I62" s="4"/>
      <c r="J62" s="4"/>
      <c r="K62" s="4"/>
      <c r="L62" s="4"/>
      <c r="M62" s="4"/>
      <c r="N62" s="4"/>
      <c r="O62" s="4"/>
      <c r="P62" s="4"/>
      <c r="Q62" s="4"/>
      <c r="R62" s="4"/>
      <c r="S62" s="4"/>
      <c r="T62" s="4"/>
      <c r="U62" s="4"/>
      <c r="V62" s="4"/>
      <c r="W62" s="4"/>
    </row>
    <row r="63" spans="1:23" ht="12.75">
      <c r="A63" s="4"/>
      <c r="B63" s="4"/>
      <c r="C63" s="4"/>
      <c r="D63" s="4"/>
      <c r="E63" s="4"/>
      <c r="F63" s="4"/>
      <c r="G63" s="4"/>
      <c r="H63" s="4"/>
      <c r="I63" s="4"/>
      <c r="J63" s="4"/>
      <c r="K63" s="4"/>
      <c r="L63" s="4"/>
      <c r="M63" s="4"/>
      <c r="N63" s="4"/>
      <c r="O63" s="4"/>
      <c r="P63" s="4"/>
      <c r="Q63" s="4"/>
      <c r="R63" s="4"/>
      <c r="S63" s="4"/>
      <c r="T63" s="4"/>
      <c r="U63" s="4"/>
      <c r="V63" s="4"/>
      <c r="W63" s="4"/>
    </row>
    <row r="64" spans="1:23" ht="12.75">
      <c r="A64" s="4"/>
      <c r="B64" s="4"/>
      <c r="C64" s="4"/>
      <c r="D64" s="4"/>
      <c r="E64" s="4"/>
      <c r="F64" s="4"/>
      <c r="G64" s="4"/>
      <c r="H64" s="4"/>
      <c r="I64" s="4"/>
      <c r="J64" s="4"/>
      <c r="K64" s="4"/>
      <c r="L64" s="4"/>
      <c r="M64" s="4"/>
      <c r="N64" s="4"/>
      <c r="O64" s="4"/>
      <c r="P64" s="4"/>
      <c r="Q64" s="4"/>
      <c r="R64" s="4"/>
      <c r="S64" s="4"/>
      <c r="T64" s="4"/>
      <c r="U64" s="4"/>
      <c r="V64" s="4"/>
      <c r="W64" s="4"/>
    </row>
    <row r="65" spans="1:23" ht="12.75">
      <c r="A65" s="4"/>
      <c r="B65" s="4"/>
      <c r="C65" s="4"/>
      <c r="D65" s="4"/>
      <c r="E65" s="4"/>
      <c r="F65" s="4"/>
      <c r="G65" s="4"/>
      <c r="H65" s="4"/>
      <c r="I65" s="4"/>
      <c r="J65" s="4"/>
      <c r="K65" s="4"/>
      <c r="L65" s="4"/>
      <c r="M65" s="4"/>
      <c r="N65" s="4"/>
      <c r="O65" s="4"/>
      <c r="P65" s="4"/>
      <c r="Q65" s="4"/>
      <c r="R65" s="4"/>
      <c r="S65" s="4"/>
      <c r="T65" s="4"/>
      <c r="U65" s="4"/>
      <c r="V65" s="4"/>
      <c r="W65" s="4"/>
    </row>
    <row r="66" spans="1:23" ht="12.75">
      <c r="A66" s="4"/>
      <c r="B66" s="4"/>
      <c r="C66" s="4"/>
      <c r="D66" s="4"/>
      <c r="E66" s="4"/>
      <c r="F66" s="4"/>
      <c r="G66" s="4"/>
      <c r="H66" s="4"/>
      <c r="I66" s="4"/>
      <c r="J66" s="4"/>
      <c r="K66" s="4"/>
      <c r="L66" s="4"/>
      <c r="M66" s="4"/>
      <c r="N66" s="4"/>
      <c r="O66" s="4"/>
      <c r="P66" s="4"/>
      <c r="Q66" s="4"/>
      <c r="R66" s="4"/>
      <c r="S66" s="4"/>
      <c r="T66" s="4"/>
      <c r="U66" s="4"/>
      <c r="V66" s="4"/>
      <c r="W66" s="4"/>
    </row>
    <row r="67" spans="1:23" ht="12.75">
      <c r="A67" s="4"/>
      <c r="B67" s="4"/>
      <c r="C67" s="4"/>
      <c r="D67" s="4"/>
      <c r="E67" s="4"/>
      <c r="F67" s="4"/>
      <c r="G67" s="4"/>
      <c r="H67" s="4"/>
      <c r="I67" s="4"/>
      <c r="J67" s="4"/>
      <c r="K67" s="4"/>
      <c r="L67" s="4"/>
      <c r="M67" s="4"/>
      <c r="N67" s="4"/>
      <c r="O67" s="4"/>
      <c r="P67" s="4"/>
      <c r="Q67" s="4"/>
      <c r="R67" s="4"/>
      <c r="S67" s="4"/>
      <c r="T67" s="4"/>
      <c r="U67" s="4"/>
      <c r="V67" s="4"/>
      <c r="W67" s="4"/>
    </row>
    <row r="68" spans="1:23" ht="12.75">
      <c r="A68" s="4"/>
      <c r="B68" s="4"/>
      <c r="C68" s="4"/>
      <c r="D68" s="4"/>
      <c r="E68" s="4"/>
      <c r="F68" s="4"/>
      <c r="G68" s="4"/>
      <c r="H68" s="4"/>
      <c r="I68" s="4"/>
      <c r="J68" s="4"/>
      <c r="K68" s="4"/>
      <c r="L68" s="4"/>
      <c r="M68" s="4"/>
      <c r="N68" s="4"/>
      <c r="O68" s="4"/>
      <c r="P68" s="4"/>
      <c r="Q68" s="4"/>
      <c r="R68" s="4"/>
      <c r="S68" s="4"/>
      <c r="T68" s="4"/>
      <c r="U68" s="4"/>
      <c r="V68" s="4"/>
      <c r="W68" s="4"/>
    </row>
    <row r="69" spans="1:23" ht="12.75">
      <c r="A69" s="4"/>
      <c r="B69" s="4"/>
      <c r="C69" s="4"/>
      <c r="D69" s="4"/>
      <c r="E69" s="4"/>
      <c r="F69" s="4"/>
      <c r="G69" s="4"/>
      <c r="H69" s="4"/>
      <c r="I69" s="4"/>
      <c r="J69" s="4"/>
      <c r="K69" s="4"/>
      <c r="L69" s="4"/>
      <c r="M69" s="4"/>
      <c r="N69" s="4"/>
      <c r="O69" s="4"/>
      <c r="P69" s="4"/>
      <c r="Q69" s="4"/>
      <c r="R69" s="4"/>
      <c r="S69" s="4"/>
      <c r="T69" s="4"/>
      <c r="U69" s="4"/>
      <c r="V69" s="4"/>
      <c r="W69" s="4"/>
    </row>
    <row r="70" spans="1:23" ht="12.75">
      <c r="A70" s="4"/>
      <c r="B70" s="4"/>
      <c r="C70" s="4"/>
      <c r="D70" s="4"/>
      <c r="E70" s="4"/>
      <c r="F70" s="4"/>
      <c r="G70" s="4"/>
      <c r="H70" s="4"/>
      <c r="I70" s="4"/>
      <c r="J70" s="4"/>
      <c r="K70" s="4"/>
      <c r="L70" s="4"/>
      <c r="M70" s="4"/>
      <c r="N70" s="4"/>
      <c r="O70" s="4"/>
      <c r="P70" s="4"/>
      <c r="Q70" s="4"/>
      <c r="R70" s="4"/>
      <c r="S70" s="4"/>
      <c r="T70" s="4"/>
      <c r="U70" s="4"/>
      <c r="V70" s="4"/>
      <c r="W70" s="4"/>
    </row>
    <row r="71" spans="1:23" ht="12.75">
      <c r="A71" s="4"/>
      <c r="B71" s="4"/>
      <c r="C71" s="4"/>
      <c r="D71" s="4"/>
      <c r="E71" s="4"/>
      <c r="F71" s="4"/>
      <c r="G71" s="4"/>
      <c r="H71" s="4"/>
      <c r="I71" s="4"/>
      <c r="J71" s="4"/>
      <c r="K71" s="4"/>
      <c r="L71" s="4"/>
      <c r="M71" s="4"/>
      <c r="N71" s="4"/>
      <c r="O71" s="4"/>
      <c r="P71" s="4"/>
      <c r="Q71" s="4"/>
      <c r="R71" s="4"/>
      <c r="S71" s="4"/>
      <c r="T71" s="4"/>
      <c r="U71" s="4"/>
      <c r="V71" s="4"/>
      <c r="W71" s="4"/>
    </row>
    <row r="72" spans="1:23" ht="12.75">
      <c r="A72" s="4"/>
      <c r="B72" s="4"/>
      <c r="C72" s="4"/>
      <c r="D72" s="4"/>
      <c r="E72" s="4"/>
      <c r="F72" s="4"/>
      <c r="G72" s="4"/>
      <c r="H72" s="4"/>
      <c r="I72" s="4"/>
      <c r="J72" s="4"/>
      <c r="K72" s="4"/>
      <c r="L72" s="4"/>
      <c r="M72" s="4"/>
      <c r="N72" s="4"/>
      <c r="O72" s="4"/>
      <c r="P72" s="4"/>
      <c r="Q72" s="4"/>
      <c r="R72" s="4"/>
      <c r="S72" s="4"/>
      <c r="T72" s="4"/>
      <c r="U72" s="4"/>
      <c r="V72" s="4"/>
      <c r="W72" s="4"/>
    </row>
    <row r="73" spans="1:23" ht="12.75">
      <c r="A73" s="4"/>
      <c r="B73" s="4"/>
      <c r="C73" s="4"/>
      <c r="D73" s="4"/>
      <c r="E73" s="4"/>
      <c r="F73" s="4"/>
      <c r="G73" s="4"/>
      <c r="H73" s="4"/>
      <c r="I73" s="4"/>
      <c r="J73" s="4"/>
      <c r="K73" s="4"/>
      <c r="L73" s="4"/>
      <c r="M73" s="4"/>
      <c r="N73" s="4"/>
      <c r="O73" s="4"/>
      <c r="P73" s="4"/>
      <c r="Q73" s="4"/>
      <c r="R73" s="4"/>
      <c r="S73" s="4"/>
      <c r="T73" s="4"/>
      <c r="U73" s="4"/>
      <c r="V73" s="4"/>
      <c r="W73" s="4"/>
    </row>
    <row r="74" spans="1:23" ht="12.75">
      <c r="A74" s="4"/>
      <c r="B74" s="4"/>
      <c r="C74" s="4"/>
      <c r="D74" s="4"/>
      <c r="E74" s="4"/>
      <c r="F74" s="4"/>
      <c r="G74" s="4"/>
      <c r="H74" s="4"/>
      <c r="I74" s="4"/>
      <c r="J74" s="4"/>
      <c r="K74" s="4"/>
      <c r="L74" s="4"/>
      <c r="M74" s="4"/>
      <c r="N74" s="4"/>
      <c r="O74" s="4"/>
      <c r="P74" s="4"/>
      <c r="Q74" s="4"/>
      <c r="R74" s="4"/>
      <c r="S74" s="4"/>
      <c r="T74" s="4"/>
      <c r="U74" s="4"/>
      <c r="V74" s="4"/>
      <c r="W74" s="4"/>
    </row>
    <row r="75" spans="1:23" ht="12.75">
      <c r="A75" s="4"/>
      <c r="B75" s="4"/>
      <c r="C75" s="4"/>
      <c r="D75" s="4"/>
      <c r="E75" s="4"/>
      <c r="F75" s="4"/>
      <c r="G75" s="4"/>
      <c r="H75" s="4"/>
      <c r="I75" s="4"/>
      <c r="J75" s="4"/>
      <c r="K75" s="4"/>
      <c r="L75" s="4"/>
      <c r="M75" s="4"/>
      <c r="N75" s="4"/>
      <c r="O75" s="4"/>
      <c r="P75" s="4"/>
      <c r="Q75" s="4"/>
      <c r="R75" s="4"/>
      <c r="S75" s="4"/>
      <c r="T75" s="4"/>
      <c r="U75" s="4"/>
      <c r="V75" s="4"/>
      <c r="W75" s="4"/>
    </row>
    <row r="76" spans="1:23" ht="12.75">
      <c r="A76" s="4"/>
      <c r="B76" s="4"/>
      <c r="C76" s="4"/>
      <c r="D76" s="4"/>
      <c r="E76" s="4"/>
      <c r="F76" s="4"/>
      <c r="G76" s="4"/>
      <c r="H76" s="4"/>
      <c r="I76" s="4"/>
      <c r="J76" s="4"/>
      <c r="K76" s="4"/>
      <c r="L76" s="4"/>
      <c r="M76" s="4"/>
      <c r="N76" s="4"/>
      <c r="O76" s="4"/>
      <c r="P76" s="4"/>
      <c r="Q76" s="4"/>
      <c r="R76" s="4"/>
      <c r="S76" s="4"/>
      <c r="T76" s="4"/>
      <c r="U76" s="4"/>
      <c r="V76" s="4"/>
      <c r="W76" s="4"/>
    </row>
    <row r="77" spans="1:23" ht="12.75">
      <c r="A77" s="4"/>
      <c r="B77" s="4"/>
      <c r="C77" s="4"/>
      <c r="D77" s="4"/>
      <c r="E77" s="4"/>
      <c r="F77" s="4"/>
      <c r="G77" s="4"/>
      <c r="H77" s="4"/>
      <c r="I77" s="4"/>
      <c r="J77" s="4"/>
      <c r="K77" s="4"/>
      <c r="L77" s="4"/>
      <c r="M77" s="4"/>
      <c r="N77" s="4"/>
      <c r="O77" s="4"/>
      <c r="P77" s="4"/>
      <c r="Q77" s="4"/>
      <c r="R77" s="4"/>
      <c r="S77" s="4"/>
      <c r="T77" s="4"/>
      <c r="U77" s="4"/>
      <c r="V77" s="4"/>
      <c r="W77" s="4"/>
    </row>
    <row r="78" spans="1:23" ht="12.75">
      <c r="A78" s="4"/>
      <c r="B78" s="4"/>
      <c r="C78" s="4"/>
      <c r="D78" s="4"/>
      <c r="E78" s="4"/>
      <c r="F78" s="4"/>
      <c r="G78" s="4"/>
      <c r="H78" s="4"/>
      <c r="I78" s="4"/>
      <c r="J78" s="4"/>
      <c r="K78" s="4"/>
      <c r="L78" s="4"/>
      <c r="M78" s="4"/>
      <c r="N78" s="4"/>
      <c r="O78" s="4"/>
      <c r="P78" s="4"/>
      <c r="Q78" s="4"/>
      <c r="R78" s="4"/>
      <c r="S78" s="4"/>
      <c r="T78" s="4"/>
      <c r="U78" s="4"/>
      <c r="V78" s="4"/>
      <c r="W78" s="4"/>
    </row>
    <row r="79" spans="1:23" ht="12.75">
      <c r="A79" s="4"/>
      <c r="B79" s="4"/>
      <c r="C79" s="4"/>
      <c r="D79" s="4"/>
      <c r="E79" s="4"/>
      <c r="F79" s="4"/>
      <c r="G79" s="4"/>
      <c r="H79" s="4"/>
      <c r="I79" s="4"/>
      <c r="J79" s="4"/>
      <c r="K79" s="4"/>
      <c r="L79" s="4"/>
      <c r="M79" s="4"/>
      <c r="N79" s="4"/>
      <c r="O79" s="4"/>
      <c r="P79" s="4"/>
      <c r="Q79" s="4"/>
      <c r="R79" s="4"/>
      <c r="S79" s="4"/>
      <c r="T79" s="4"/>
      <c r="U79" s="4"/>
      <c r="V79" s="4"/>
      <c r="W79" s="4"/>
    </row>
    <row r="80" spans="1:23" ht="12.75">
      <c r="A80" s="4"/>
      <c r="B80" s="4"/>
      <c r="C80" s="4"/>
      <c r="D80" s="4"/>
      <c r="E80" s="4"/>
      <c r="F80" s="4"/>
      <c r="G80" s="4"/>
      <c r="H80" s="4"/>
      <c r="I80" s="4"/>
      <c r="J80" s="4"/>
      <c r="K80" s="4"/>
      <c r="L80" s="4"/>
      <c r="M80" s="4"/>
      <c r="N80" s="4"/>
      <c r="O80" s="4"/>
      <c r="P80" s="4"/>
      <c r="Q80" s="4"/>
      <c r="R80" s="4"/>
      <c r="S80" s="4"/>
      <c r="T80" s="4"/>
      <c r="U80" s="4"/>
      <c r="V80" s="4"/>
      <c r="W80" s="4"/>
    </row>
    <row r="81" spans="1:23" ht="12.75">
      <c r="A81" s="4"/>
      <c r="B81" s="4"/>
      <c r="C81" s="4"/>
      <c r="D81" s="4"/>
      <c r="E81" s="4"/>
      <c r="F81" s="4"/>
      <c r="G81" s="4"/>
      <c r="H81" s="4"/>
      <c r="I81" s="4"/>
      <c r="J81" s="4"/>
      <c r="K81" s="4"/>
      <c r="L81" s="4"/>
      <c r="M81" s="4"/>
      <c r="N81" s="4"/>
      <c r="O81" s="4"/>
      <c r="P81" s="4"/>
      <c r="Q81" s="4"/>
      <c r="R81" s="4"/>
      <c r="S81" s="4"/>
      <c r="T81" s="4"/>
      <c r="U81" s="4"/>
      <c r="V81" s="4"/>
      <c r="W81" s="4"/>
    </row>
    <row r="82" spans="1:23" ht="12.75">
      <c r="A82" s="4"/>
      <c r="B82" s="4"/>
      <c r="C82" s="4"/>
      <c r="D82" s="4"/>
      <c r="E82" s="4"/>
      <c r="F82" s="4"/>
      <c r="G82" s="4"/>
      <c r="H82" s="4"/>
      <c r="I82" s="4"/>
      <c r="J82" s="4"/>
      <c r="K82" s="4"/>
      <c r="L82" s="4"/>
      <c r="M82" s="4"/>
      <c r="N82" s="4"/>
      <c r="O82" s="4"/>
      <c r="P82" s="4"/>
      <c r="Q82" s="4"/>
      <c r="R82" s="4"/>
      <c r="S82" s="4"/>
      <c r="T82" s="4"/>
      <c r="U82" s="4"/>
      <c r="V82" s="4"/>
      <c r="W82" s="4"/>
    </row>
    <row r="83" spans="1:23" ht="12.75">
      <c r="A83" s="4"/>
      <c r="B83" s="4"/>
      <c r="C83" s="4"/>
      <c r="D83" s="4"/>
      <c r="E83" s="4"/>
      <c r="F83" s="4"/>
      <c r="G83" s="4"/>
      <c r="H83" s="4"/>
      <c r="I83" s="4"/>
      <c r="J83" s="4"/>
      <c r="K83" s="4"/>
      <c r="L83" s="4"/>
      <c r="M83" s="4"/>
      <c r="N83" s="4"/>
      <c r="O83" s="4"/>
      <c r="P83" s="4"/>
      <c r="Q83" s="4"/>
      <c r="R83" s="4"/>
      <c r="S83" s="4"/>
      <c r="T83" s="4"/>
      <c r="U83" s="4"/>
      <c r="V83" s="4"/>
      <c r="W83" s="4"/>
    </row>
    <row r="84" spans="1:23" ht="12.75">
      <c r="A84" s="4"/>
      <c r="B84" s="4"/>
      <c r="C84" s="4"/>
      <c r="D84" s="4"/>
      <c r="E84" s="4"/>
      <c r="F84" s="4"/>
      <c r="G84" s="4"/>
      <c r="H84" s="4"/>
      <c r="I84" s="4"/>
      <c r="J84" s="4"/>
      <c r="K84" s="4"/>
      <c r="L84" s="4"/>
      <c r="M84" s="4"/>
      <c r="N84" s="4"/>
      <c r="O84" s="4"/>
      <c r="P84" s="4"/>
      <c r="Q84" s="4"/>
      <c r="R84" s="4"/>
      <c r="S84" s="4"/>
      <c r="T84" s="4"/>
      <c r="U84" s="4"/>
      <c r="V84" s="4"/>
      <c r="W84" s="4"/>
    </row>
    <row r="85" spans="1:23" ht="12.75">
      <c r="A85" s="4"/>
      <c r="B85" s="4"/>
      <c r="C85" s="4"/>
      <c r="D85" s="4"/>
      <c r="E85" s="4"/>
      <c r="F85" s="4"/>
      <c r="G85" s="4"/>
      <c r="H85" s="4"/>
      <c r="I85" s="4"/>
      <c r="J85" s="4"/>
      <c r="K85" s="4"/>
      <c r="L85" s="4"/>
      <c r="M85" s="4"/>
      <c r="N85" s="4"/>
      <c r="O85" s="4"/>
      <c r="P85" s="4"/>
      <c r="Q85" s="4"/>
      <c r="R85" s="4"/>
      <c r="S85" s="4"/>
      <c r="T85" s="4"/>
      <c r="U85" s="4"/>
      <c r="V85" s="4"/>
      <c r="W85" s="4"/>
    </row>
    <row r="86" spans="1:23" ht="12.75">
      <c r="A86" s="4"/>
      <c r="B86" s="4"/>
      <c r="C86" s="4"/>
      <c r="D86" s="4"/>
      <c r="E86" s="4"/>
      <c r="F86" s="4"/>
      <c r="G86" s="4"/>
      <c r="H86" s="4"/>
      <c r="I86" s="4"/>
      <c r="J86" s="4"/>
      <c r="K86" s="4"/>
      <c r="L86" s="4"/>
      <c r="M86" s="4"/>
      <c r="N86" s="4"/>
      <c r="O86" s="4"/>
      <c r="P86" s="4"/>
      <c r="Q86" s="4"/>
      <c r="R86" s="4"/>
      <c r="S86" s="4"/>
      <c r="T86" s="4"/>
      <c r="U86" s="4"/>
      <c r="V86" s="4"/>
      <c r="W86" s="4"/>
    </row>
    <row r="87" spans="1:23" ht="12.75">
      <c r="A87" s="4"/>
      <c r="B87" s="4"/>
      <c r="C87" s="4"/>
      <c r="D87" s="4"/>
      <c r="E87" s="4"/>
      <c r="F87" s="4"/>
      <c r="G87" s="4"/>
      <c r="H87" s="4"/>
      <c r="I87" s="4"/>
      <c r="J87" s="4"/>
      <c r="K87" s="4"/>
      <c r="L87" s="4"/>
      <c r="M87" s="4"/>
      <c r="N87" s="4"/>
      <c r="O87" s="4"/>
      <c r="P87" s="4"/>
      <c r="Q87" s="4"/>
      <c r="R87" s="4"/>
      <c r="S87" s="4"/>
      <c r="T87" s="4"/>
      <c r="U87" s="4"/>
      <c r="V87" s="4"/>
      <c r="W87" s="4"/>
    </row>
    <row r="88" spans="1:23" ht="12.75">
      <c r="A88" s="4"/>
      <c r="B88" s="4"/>
      <c r="C88" s="4"/>
      <c r="D88" s="4"/>
      <c r="E88" s="4"/>
      <c r="F88" s="4"/>
      <c r="G88" s="4"/>
      <c r="H88" s="4"/>
      <c r="I88" s="4"/>
      <c r="J88" s="4"/>
      <c r="K88" s="4"/>
      <c r="L88" s="4"/>
      <c r="M88" s="4"/>
      <c r="N88" s="4"/>
      <c r="O88" s="4"/>
      <c r="P88" s="4"/>
      <c r="Q88" s="4"/>
      <c r="R88" s="4"/>
      <c r="S88" s="4"/>
      <c r="T88" s="4"/>
      <c r="U88" s="4"/>
      <c r="V88" s="4"/>
      <c r="W88" s="4"/>
    </row>
    <row r="89" spans="1:23" ht="12.75">
      <c r="A89" s="4"/>
      <c r="B89" s="4"/>
      <c r="C89" s="4"/>
      <c r="D89" s="4"/>
      <c r="E89" s="4"/>
      <c r="F89" s="4"/>
      <c r="G89" s="4"/>
      <c r="H89" s="4"/>
      <c r="I89" s="4"/>
      <c r="J89" s="4"/>
      <c r="K89" s="4"/>
      <c r="L89" s="4"/>
      <c r="M89" s="4"/>
      <c r="N89" s="4"/>
      <c r="O89" s="4"/>
      <c r="P89" s="4"/>
      <c r="Q89" s="4"/>
      <c r="R89" s="4"/>
      <c r="S89" s="4"/>
      <c r="T89" s="4"/>
      <c r="U89" s="4"/>
      <c r="V89" s="4"/>
      <c r="W89" s="4"/>
    </row>
    <row r="90" spans="1:23" ht="12.75">
      <c r="A90" s="4"/>
      <c r="B90" s="4"/>
      <c r="C90" s="4"/>
      <c r="D90" s="4"/>
      <c r="E90" s="4"/>
      <c r="F90" s="4"/>
      <c r="G90" s="4"/>
      <c r="H90" s="4"/>
      <c r="I90" s="4"/>
      <c r="J90" s="4"/>
      <c r="K90" s="4"/>
      <c r="L90" s="4"/>
      <c r="M90" s="4"/>
      <c r="N90" s="4"/>
      <c r="O90" s="4"/>
      <c r="P90" s="4"/>
      <c r="Q90" s="4"/>
      <c r="R90" s="4"/>
      <c r="S90" s="4"/>
      <c r="T90" s="4"/>
      <c r="U90" s="4"/>
      <c r="V90" s="4"/>
      <c r="W90" s="4"/>
    </row>
    <row r="91" spans="1:23" ht="12.75">
      <c r="A91" s="4"/>
      <c r="B91" s="4"/>
      <c r="C91" s="4"/>
      <c r="D91" s="4"/>
      <c r="E91" s="4"/>
      <c r="F91" s="4"/>
      <c r="G91" s="4"/>
      <c r="H91" s="4"/>
      <c r="I91" s="4"/>
      <c r="J91" s="4"/>
      <c r="K91" s="4"/>
      <c r="L91" s="4"/>
      <c r="M91" s="4"/>
      <c r="N91" s="4"/>
      <c r="O91" s="4"/>
      <c r="P91" s="4"/>
      <c r="Q91" s="4"/>
      <c r="R91" s="4"/>
      <c r="S91" s="4"/>
      <c r="T91" s="4"/>
      <c r="U91" s="4"/>
      <c r="V91" s="4"/>
      <c r="W91" s="4"/>
    </row>
    <row r="92" spans="1:23" ht="12.75">
      <c r="A92" s="4"/>
      <c r="B92" s="4"/>
      <c r="C92" s="4"/>
      <c r="D92" s="4"/>
      <c r="E92" s="4"/>
      <c r="F92" s="4"/>
      <c r="G92" s="4"/>
      <c r="H92" s="4"/>
      <c r="I92" s="4"/>
      <c r="J92" s="4"/>
      <c r="K92" s="4"/>
      <c r="L92" s="4"/>
      <c r="M92" s="4"/>
      <c r="N92" s="4"/>
      <c r="O92" s="4"/>
      <c r="P92" s="4"/>
      <c r="Q92" s="4"/>
      <c r="R92" s="4"/>
      <c r="S92" s="4"/>
      <c r="T92" s="4"/>
      <c r="U92" s="4"/>
      <c r="V92" s="4"/>
      <c r="W92" s="4"/>
    </row>
    <row r="93" spans="1:23" ht="12.75">
      <c r="A93" s="4"/>
      <c r="B93" s="4"/>
      <c r="C93" s="4"/>
      <c r="D93" s="4"/>
      <c r="E93" s="4"/>
      <c r="F93" s="4"/>
      <c r="G93" s="4"/>
      <c r="H93" s="4"/>
      <c r="I93" s="4"/>
      <c r="J93" s="4"/>
      <c r="K93" s="4"/>
      <c r="L93" s="4"/>
      <c r="M93" s="4"/>
      <c r="N93" s="4"/>
      <c r="O93" s="4"/>
      <c r="P93" s="4"/>
      <c r="Q93" s="4"/>
      <c r="R93" s="4"/>
      <c r="S93" s="4"/>
      <c r="T93" s="4"/>
      <c r="U93" s="4"/>
      <c r="V93" s="4"/>
      <c r="W93" s="4"/>
    </row>
    <row r="94" spans="1:23" ht="12.75">
      <c r="A94" s="4"/>
      <c r="B94" s="4"/>
      <c r="C94" s="4"/>
      <c r="D94" s="4"/>
      <c r="E94" s="4"/>
      <c r="F94" s="4"/>
      <c r="G94" s="4"/>
      <c r="H94" s="4"/>
      <c r="I94" s="4"/>
      <c r="J94" s="4"/>
      <c r="K94" s="4"/>
      <c r="L94" s="4"/>
      <c r="M94" s="4"/>
      <c r="N94" s="4"/>
      <c r="O94" s="4"/>
      <c r="P94" s="4"/>
      <c r="Q94" s="4"/>
      <c r="R94" s="4"/>
      <c r="S94" s="4"/>
      <c r="T94" s="4"/>
      <c r="U94" s="4"/>
      <c r="V94" s="4"/>
      <c r="W94" s="4"/>
    </row>
    <row r="95" spans="1:23" ht="12.75">
      <c r="A95" s="4"/>
      <c r="B95" s="4"/>
      <c r="C95" s="4"/>
      <c r="D95" s="4"/>
      <c r="E95" s="4"/>
      <c r="F95" s="4"/>
      <c r="G95" s="4"/>
      <c r="H95" s="4"/>
      <c r="I95" s="4"/>
      <c r="J95" s="4"/>
      <c r="K95" s="4"/>
      <c r="L95" s="4"/>
      <c r="M95" s="4"/>
      <c r="N95" s="4"/>
      <c r="O95" s="4"/>
      <c r="P95" s="4"/>
      <c r="Q95" s="4"/>
      <c r="R95" s="4"/>
      <c r="S95" s="4"/>
      <c r="T95" s="4"/>
      <c r="U95" s="4"/>
      <c r="V95" s="4"/>
      <c r="W95" s="4"/>
    </row>
    <row r="96" spans="1:23" ht="12.75">
      <c r="A96" s="4"/>
      <c r="B96" s="4"/>
      <c r="C96" s="4"/>
      <c r="D96" s="4"/>
      <c r="E96" s="4"/>
      <c r="F96" s="4"/>
      <c r="G96" s="4"/>
      <c r="H96" s="4"/>
      <c r="I96" s="4"/>
      <c r="J96" s="4"/>
      <c r="K96" s="4"/>
      <c r="L96" s="4"/>
      <c r="M96" s="4"/>
      <c r="N96" s="4"/>
      <c r="O96" s="4"/>
      <c r="P96" s="4"/>
      <c r="Q96" s="4"/>
      <c r="R96" s="4"/>
      <c r="S96" s="4"/>
      <c r="T96" s="4"/>
      <c r="U96" s="4"/>
      <c r="V96" s="4"/>
      <c r="W96" s="4"/>
    </row>
    <row r="97" spans="1:23" ht="12.75">
      <c r="A97" s="4"/>
      <c r="B97" s="4"/>
      <c r="C97" s="4"/>
      <c r="D97" s="4"/>
      <c r="E97" s="4"/>
      <c r="F97" s="4"/>
      <c r="G97" s="4"/>
      <c r="H97" s="4"/>
      <c r="I97" s="4"/>
      <c r="J97" s="4"/>
      <c r="K97" s="4"/>
      <c r="L97" s="4"/>
      <c r="M97" s="4"/>
      <c r="N97" s="4"/>
      <c r="O97" s="4"/>
      <c r="P97" s="4"/>
      <c r="Q97" s="4"/>
      <c r="R97" s="4"/>
      <c r="S97" s="4"/>
      <c r="T97" s="4"/>
      <c r="U97" s="4"/>
      <c r="V97" s="4"/>
      <c r="W97" s="4"/>
    </row>
    <row r="98" spans="1:23" ht="12.75">
      <c r="A98" s="4"/>
      <c r="B98" s="4"/>
      <c r="C98" s="4"/>
      <c r="D98" s="4"/>
      <c r="E98" s="4"/>
      <c r="F98" s="4"/>
      <c r="G98" s="4"/>
      <c r="H98" s="4"/>
      <c r="I98" s="4"/>
      <c r="J98" s="4"/>
      <c r="K98" s="4"/>
      <c r="L98" s="4"/>
      <c r="M98" s="4"/>
      <c r="N98" s="4"/>
      <c r="O98" s="4"/>
      <c r="P98" s="4"/>
      <c r="Q98" s="4"/>
      <c r="R98" s="4"/>
      <c r="S98" s="4"/>
      <c r="T98" s="4"/>
      <c r="U98" s="4"/>
      <c r="V98" s="4"/>
      <c r="W98" s="4"/>
    </row>
    <row r="99" spans="1:23" ht="12.75">
      <c r="A99" s="4"/>
      <c r="B99" s="4"/>
      <c r="C99" s="4"/>
      <c r="D99" s="4"/>
      <c r="E99" s="4"/>
      <c r="F99" s="4"/>
      <c r="G99" s="4"/>
      <c r="H99" s="4"/>
      <c r="I99" s="4"/>
      <c r="J99" s="4"/>
      <c r="K99" s="4"/>
      <c r="L99" s="4"/>
      <c r="M99" s="4"/>
      <c r="N99" s="4"/>
      <c r="O99" s="4"/>
      <c r="P99" s="4"/>
      <c r="Q99" s="4"/>
      <c r="R99" s="4"/>
      <c r="S99" s="4"/>
      <c r="T99" s="4"/>
      <c r="U99" s="4"/>
      <c r="V99" s="4"/>
      <c r="W99" s="4"/>
    </row>
    <row r="100" spans="1:23" ht="12.7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2.7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2.7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2.7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7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2.7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7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2.7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7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2.7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2.7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2.7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2.7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2.7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2.7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2.7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2.7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2.7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2.7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2.7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2.7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2.7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2.7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2.7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2.7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2.7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2.7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2.7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2.7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2.7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2.7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2.7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2.7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2.7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2.7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2.7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2.7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2.7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2.7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2.7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2.7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2.7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2.7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2.7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2.7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2.75">
      <c r="A145" s="4"/>
      <c r="B145" s="4"/>
      <c r="C145" s="4"/>
      <c r="D145" s="4"/>
      <c r="E145" s="4"/>
      <c r="F145" s="4"/>
      <c r="G145" s="4"/>
      <c r="H145" s="4"/>
      <c r="I145" s="4"/>
      <c r="J145" s="4"/>
      <c r="K145" s="4"/>
      <c r="L145" s="4"/>
      <c r="M145" s="4"/>
      <c r="N145" s="4"/>
      <c r="O145" s="4"/>
      <c r="P145" s="4"/>
      <c r="Q145" s="4"/>
      <c r="R145" s="4"/>
      <c r="S145" s="4"/>
      <c r="T145" s="4"/>
      <c r="U145" s="4"/>
      <c r="V145" s="4"/>
      <c r="W145" s="4"/>
    </row>
  </sheetData>
  <sheetProtection password="CE3F" sheet="1" selectLockedCells="1" selectUnlockedCells="1"/>
  <mergeCells count="4">
    <mergeCell ref="D3:I3"/>
    <mergeCell ref="D4:I4"/>
    <mergeCell ref="D5:I5"/>
    <mergeCell ref="E7:I7"/>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O117"/>
  <sheetViews>
    <sheetView zoomScalePageLayoutView="0" workbookViewId="0" topLeftCell="A1">
      <selection activeCell="A1" sqref="A1"/>
    </sheetView>
  </sheetViews>
  <sheetFormatPr defaultColWidth="9.140625" defaultRowHeight="12.75"/>
  <cols>
    <col min="1" max="3" width="3.00390625" style="0" customWidth="1"/>
    <col min="4" max="4" width="32.28125" style="0" customWidth="1"/>
    <col min="5" max="5" width="9.7109375" style="0" customWidth="1"/>
    <col min="6" max="6" width="2.421875" style="0" customWidth="1"/>
    <col min="7" max="7" width="9.8515625" style="0" customWidth="1"/>
    <col min="8" max="8" width="2.140625" style="0" customWidth="1"/>
    <col min="9" max="9" width="10.421875" style="0" customWidth="1"/>
    <col min="10" max="10" width="2.57421875" style="0" customWidth="1"/>
    <col min="11" max="12" width="2.7109375" style="0" customWidth="1"/>
    <col min="13" max="13" width="9.8515625" style="0" customWidth="1"/>
    <col min="14" max="14" width="2.140625" style="0" customWidth="1"/>
    <col min="15" max="15" width="10.00390625" style="0" customWidth="1"/>
    <col min="16" max="16" width="6.140625" style="0" customWidth="1"/>
    <col min="17" max="17" width="11.28125" style="0" customWidth="1"/>
    <col min="18" max="18" width="2.421875" style="0" customWidth="1"/>
    <col min="19" max="19" width="9.140625" style="0" customWidth="1"/>
    <col min="20" max="20" width="2.28125" style="0" customWidth="1"/>
    <col min="21" max="21" width="2.7109375" style="0" customWidth="1"/>
    <col min="22" max="22" width="2.421875" style="2" customWidth="1"/>
    <col min="23" max="23" width="24.57421875" style="0" customWidth="1"/>
    <col min="24" max="24" width="8.421875" style="1" customWidth="1"/>
    <col min="25" max="25" width="3.140625" style="1" customWidth="1"/>
    <col min="26" max="26" width="8.421875" style="1" customWidth="1"/>
    <col min="27" max="27" width="1.57421875" style="1" customWidth="1"/>
    <col min="28" max="28" width="8.57421875" style="0" customWidth="1"/>
    <col min="29" max="29" width="2.7109375" style="0" customWidth="1"/>
    <col min="30" max="30" width="3.421875" style="0" customWidth="1"/>
    <col min="31" max="31" width="3.57421875" style="0" customWidth="1"/>
  </cols>
  <sheetData>
    <row r="1" spans="1:36" ht="13.5" customHeight="1">
      <c r="A1" s="94"/>
      <c r="B1" s="94"/>
      <c r="C1" s="94"/>
      <c r="D1" s="93"/>
      <c r="E1" s="94"/>
      <c r="F1" s="94"/>
      <c r="G1" s="94"/>
      <c r="H1" s="94"/>
      <c r="I1" s="94"/>
      <c r="J1" s="94"/>
      <c r="K1" s="94"/>
      <c r="L1" s="94"/>
      <c r="M1" s="94"/>
      <c r="N1" s="94"/>
      <c r="O1" s="94"/>
      <c r="P1" s="94"/>
      <c r="Q1" s="94"/>
      <c r="R1" s="94"/>
      <c r="S1" s="94"/>
      <c r="T1" s="94"/>
      <c r="U1" s="4"/>
      <c r="V1" s="4"/>
      <c r="W1" s="5"/>
      <c r="X1" s="54"/>
      <c r="Y1" s="54"/>
      <c r="Z1" s="26"/>
      <c r="AA1" s="26"/>
      <c r="AB1" s="4"/>
      <c r="AC1" s="4"/>
      <c r="AD1" s="4"/>
      <c r="AE1" s="4"/>
      <c r="AF1" s="4"/>
      <c r="AG1" s="4"/>
      <c r="AH1" s="4"/>
      <c r="AI1" s="4"/>
      <c r="AJ1" s="4"/>
    </row>
    <row r="2" spans="1:41" ht="13.5" customHeight="1">
      <c r="A2" s="94"/>
      <c r="B2" s="154"/>
      <c r="C2" s="154"/>
      <c r="D2" s="217"/>
      <c r="E2" s="154"/>
      <c r="F2" s="154"/>
      <c r="G2" s="154"/>
      <c r="H2" s="154"/>
      <c r="I2" s="154"/>
      <c r="J2" s="154"/>
      <c r="K2" s="154"/>
      <c r="L2" s="154"/>
      <c r="M2" s="154"/>
      <c r="N2" s="154"/>
      <c r="O2" s="154"/>
      <c r="P2" s="154"/>
      <c r="Q2" s="154"/>
      <c r="R2" s="154"/>
      <c r="S2" s="154"/>
      <c r="T2" s="154"/>
      <c r="U2" s="218"/>
      <c r="V2" s="218"/>
      <c r="W2" s="218"/>
      <c r="X2" s="219"/>
      <c r="Y2" s="219"/>
      <c r="Z2" s="220"/>
      <c r="AA2" s="220"/>
      <c r="AB2" s="221"/>
      <c r="AC2" s="218"/>
      <c r="AD2" s="218"/>
      <c r="AE2" s="55"/>
      <c r="AF2" s="55"/>
      <c r="AG2" s="55"/>
      <c r="AH2" s="55"/>
      <c r="AI2" s="55"/>
      <c r="AJ2" s="55"/>
      <c r="AK2" s="3"/>
      <c r="AL2" s="3"/>
      <c r="AM2" s="3"/>
      <c r="AN2" s="3"/>
      <c r="AO2" s="3"/>
    </row>
    <row r="3" spans="1:41" ht="13.5" customHeight="1">
      <c r="A3" s="94"/>
      <c r="B3" s="154"/>
      <c r="C3" s="94"/>
      <c r="D3" s="491" t="s">
        <v>54</v>
      </c>
      <c r="E3" s="496"/>
      <c r="F3" s="496"/>
      <c r="G3" s="496"/>
      <c r="H3" s="496"/>
      <c r="I3" s="496"/>
      <c r="J3" s="496"/>
      <c r="K3" s="496"/>
      <c r="L3" s="496"/>
      <c r="M3" s="496"/>
      <c r="N3" s="496"/>
      <c r="O3" s="496"/>
      <c r="P3" s="101"/>
      <c r="Q3" s="101"/>
      <c r="R3" s="101"/>
      <c r="S3" s="101"/>
      <c r="T3" s="390"/>
      <c r="U3" s="56"/>
      <c r="V3" s="56"/>
      <c r="W3" s="492"/>
      <c r="X3" s="492"/>
      <c r="Y3" s="492"/>
      <c r="Z3" s="492"/>
      <c r="AA3" s="106"/>
      <c r="AB3" s="4"/>
      <c r="AC3" s="55"/>
      <c r="AD3" s="218"/>
      <c r="AE3" s="55"/>
      <c r="AF3" s="55"/>
      <c r="AG3" s="55"/>
      <c r="AH3" s="55"/>
      <c r="AI3" s="55"/>
      <c r="AJ3" s="55"/>
      <c r="AK3" s="3"/>
      <c r="AL3" s="3"/>
      <c r="AM3" s="3"/>
      <c r="AN3" s="3"/>
      <c r="AO3" s="3"/>
    </row>
    <row r="4" spans="1:41" ht="13.5" customHeight="1">
      <c r="A4" s="94"/>
      <c r="B4" s="154"/>
      <c r="C4" s="94"/>
      <c r="D4" s="491" t="s">
        <v>3</v>
      </c>
      <c r="E4" s="496"/>
      <c r="F4" s="496"/>
      <c r="G4" s="496"/>
      <c r="H4" s="496"/>
      <c r="I4" s="496"/>
      <c r="J4" s="496"/>
      <c r="K4" s="496"/>
      <c r="L4" s="496"/>
      <c r="M4" s="496"/>
      <c r="N4" s="496"/>
      <c r="O4" s="496"/>
      <c r="P4" s="101"/>
      <c r="Q4" s="101"/>
      <c r="R4" s="101"/>
      <c r="S4" s="101"/>
      <c r="T4" s="390"/>
      <c r="U4" s="56"/>
      <c r="V4" s="56"/>
      <c r="W4" s="497" t="s">
        <v>502</v>
      </c>
      <c r="X4" s="498"/>
      <c r="Y4" s="498"/>
      <c r="Z4" s="498"/>
      <c r="AA4" s="106"/>
      <c r="AB4" s="4"/>
      <c r="AC4" s="55"/>
      <c r="AD4" s="218"/>
      <c r="AE4" s="55"/>
      <c r="AF4" s="55"/>
      <c r="AG4" s="55"/>
      <c r="AH4" s="55"/>
      <c r="AI4" s="55"/>
      <c r="AJ4" s="55"/>
      <c r="AK4" s="3"/>
      <c r="AL4" s="3"/>
      <c r="AM4" s="3"/>
      <c r="AN4" s="3"/>
      <c r="AO4" s="3"/>
    </row>
    <row r="5" spans="1:41" ht="13.5" customHeight="1">
      <c r="A5" s="94"/>
      <c r="B5" s="154"/>
      <c r="C5" s="94"/>
      <c r="D5" s="493" t="s">
        <v>62</v>
      </c>
      <c r="E5" s="496"/>
      <c r="F5" s="496"/>
      <c r="G5" s="496"/>
      <c r="H5" s="496"/>
      <c r="I5" s="496"/>
      <c r="J5" s="496"/>
      <c r="K5" s="496"/>
      <c r="L5" s="496"/>
      <c r="M5" s="496"/>
      <c r="N5" s="496"/>
      <c r="O5" s="496"/>
      <c r="P5" s="101"/>
      <c r="Q5" s="101"/>
      <c r="R5" s="101"/>
      <c r="S5" s="101"/>
      <c r="T5" s="390"/>
      <c r="U5" s="56"/>
      <c r="V5" s="56"/>
      <c r="W5" s="498"/>
      <c r="X5" s="498"/>
      <c r="Y5" s="498"/>
      <c r="Z5" s="498"/>
      <c r="AA5" s="203"/>
      <c r="AB5" s="4"/>
      <c r="AC5" s="55"/>
      <c r="AD5" s="218"/>
      <c r="AE5" s="55"/>
      <c r="AF5" s="55"/>
      <c r="AG5" s="55"/>
      <c r="AH5" s="55"/>
      <c r="AI5" s="55"/>
      <c r="AJ5" s="55"/>
      <c r="AK5" s="3"/>
      <c r="AL5" s="3"/>
      <c r="AM5" s="3"/>
      <c r="AN5" s="3"/>
      <c r="AO5" s="3"/>
    </row>
    <row r="6" spans="1:41" ht="13.5" customHeight="1">
      <c r="A6" s="94"/>
      <c r="B6" s="154"/>
      <c r="C6" s="94"/>
      <c r="D6" s="94"/>
      <c r="E6" s="490"/>
      <c r="F6" s="490"/>
      <c r="G6" s="490"/>
      <c r="H6" s="149"/>
      <c r="I6" s="212"/>
      <c r="J6" s="212"/>
      <c r="K6" s="149"/>
      <c r="L6" s="149"/>
      <c r="M6" s="94"/>
      <c r="N6" s="94"/>
      <c r="O6" s="94"/>
      <c r="P6" s="94"/>
      <c r="Q6" s="94"/>
      <c r="R6" s="94"/>
      <c r="S6" s="94"/>
      <c r="T6" s="94"/>
      <c r="U6" s="56"/>
      <c r="V6" s="56"/>
      <c r="W6" s="498"/>
      <c r="X6" s="498"/>
      <c r="Y6" s="498"/>
      <c r="Z6" s="498"/>
      <c r="AA6" s="106"/>
      <c r="AB6" s="4"/>
      <c r="AC6" s="55"/>
      <c r="AD6" s="218"/>
      <c r="AE6" s="55"/>
      <c r="AF6" s="55"/>
      <c r="AG6" s="55"/>
      <c r="AH6" s="55"/>
      <c r="AI6" s="55"/>
      <c r="AJ6" s="55"/>
      <c r="AK6" s="3"/>
      <c r="AL6" s="3"/>
      <c r="AM6" s="3"/>
      <c r="AN6" s="3"/>
      <c r="AO6" s="3"/>
    </row>
    <row r="7" spans="1:41" ht="13.5" customHeight="1">
      <c r="A7" s="94"/>
      <c r="B7" s="154"/>
      <c r="C7" s="94"/>
      <c r="D7" s="94"/>
      <c r="E7" s="135"/>
      <c r="F7" s="159"/>
      <c r="G7" s="135"/>
      <c r="H7" s="159"/>
      <c r="I7" s="135"/>
      <c r="J7" s="159"/>
      <c r="K7" s="159"/>
      <c r="L7" s="159"/>
      <c r="M7" s="491" t="s">
        <v>50</v>
      </c>
      <c r="N7" s="503"/>
      <c r="O7" s="503"/>
      <c r="P7" s="94"/>
      <c r="Q7" s="491" t="s">
        <v>50</v>
      </c>
      <c r="R7" s="503"/>
      <c r="S7" s="503"/>
      <c r="T7" s="388"/>
      <c r="U7" s="477"/>
      <c r="V7" s="57"/>
      <c r="W7" s="498"/>
      <c r="X7" s="498"/>
      <c r="Y7" s="498"/>
      <c r="Z7" s="498"/>
      <c r="AA7" s="106"/>
      <c r="AB7" s="282" t="s">
        <v>401</v>
      </c>
      <c r="AC7" s="55"/>
      <c r="AD7" s="218"/>
      <c r="AE7" s="55"/>
      <c r="AF7" s="55"/>
      <c r="AG7" s="55"/>
      <c r="AH7" s="55"/>
      <c r="AI7" s="55"/>
      <c r="AJ7" s="55"/>
      <c r="AK7" s="3"/>
      <c r="AL7" s="3"/>
      <c r="AM7" s="3"/>
      <c r="AN7" s="3"/>
      <c r="AO7" s="3"/>
    </row>
    <row r="8" spans="1:41" ht="13.5" customHeight="1">
      <c r="A8" s="94"/>
      <c r="B8" s="154"/>
      <c r="C8" s="94"/>
      <c r="D8" s="94"/>
      <c r="E8" s="104" t="s">
        <v>22</v>
      </c>
      <c r="F8" s="159"/>
      <c r="G8" s="104" t="s">
        <v>12</v>
      </c>
      <c r="H8" s="159"/>
      <c r="I8" s="104" t="s">
        <v>53</v>
      </c>
      <c r="J8" s="159"/>
      <c r="K8" s="162"/>
      <c r="L8" s="161"/>
      <c r="M8" s="501" t="s">
        <v>233</v>
      </c>
      <c r="N8" s="502"/>
      <c r="O8" s="502"/>
      <c r="P8" s="101"/>
      <c r="Q8" s="501" t="s">
        <v>234</v>
      </c>
      <c r="R8" s="502"/>
      <c r="S8" s="502"/>
      <c r="T8" s="180"/>
      <c r="U8" s="478"/>
      <c r="V8" s="58"/>
      <c r="W8" s="94"/>
      <c r="X8" s="345" t="s">
        <v>54</v>
      </c>
      <c r="Y8" s="345"/>
      <c r="Z8" s="345"/>
      <c r="AA8" s="106"/>
      <c r="AB8" s="283" t="s">
        <v>402</v>
      </c>
      <c r="AC8" s="55"/>
      <c r="AD8" s="218"/>
      <c r="AE8" s="55"/>
      <c r="AF8" s="55"/>
      <c r="AG8" s="55"/>
      <c r="AH8" s="55"/>
      <c r="AI8" s="55"/>
      <c r="AJ8" s="55"/>
      <c r="AK8" s="3"/>
      <c r="AL8" s="3"/>
      <c r="AM8" s="3"/>
      <c r="AN8" s="3"/>
      <c r="AO8" s="3"/>
    </row>
    <row r="9" spans="1:41" ht="13.5" customHeight="1">
      <c r="A9" s="94"/>
      <c r="B9" s="154"/>
      <c r="C9" s="94"/>
      <c r="D9" s="93" t="s">
        <v>64</v>
      </c>
      <c r="E9" s="94"/>
      <c r="F9" s="94"/>
      <c r="G9" s="94"/>
      <c r="H9" s="94"/>
      <c r="I9" s="94"/>
      <c r="J9" s="94"/>
      <c r="K9" s="164"/>
      <c r="L9" s="163"/>
      <c r="M9" s="104" t="s">
        <v>51</v>
      </c>
      <c r="N9" s="104"/>
      <c r="O9" s="104" t="s">
        <v>52</v>
      </c>
      <c r="P9" s="159"/>
      <c r="Q9" s="104" t="s">
        <v>51</v>
      </c>
      <c r="R9" s="104"/>
      <c r="S9" s="104" t="s">
        <v>52</v>
      </c>
      <c r="T9" s="391"/>
      <c r="U9" s="478"/>
      <c r="V9" s="58"/>
      <c r="W9" s="345" t="s">
        <v>6</v>
      </c>
      <c r="X9" s="203" t="s">
        <v>11</v>
      </c>
      <c r="Y9" s="203"/>
      <c r="Z9" s="203" t="s">
        <v>12</v>
      </c>
      <c r="AA9" s="106"/>
      <c r="AB9" s="284" t="s">
        <v>11</v>
      </c>
      <c r="AC9" s="55"/>
      <c r="AD9" s="218"/>
      <c r="AE9" s="55"/>
      <c r="AF9" s="55"/>
      <c r="AG9" s="55"/>
      <c r="AH9" s="55"/>
      <c r="AI9" s="55"/>
      <c r="AJ9" s="55"/>
      <c r="AK9" s="3"/>
      <c r="AL9" s="3"/>
      <c r="AM9" s="3"/>
      <c r="AN9" s="3"/>
      <c r="AO9" s="3"/>
    </row>
    <row r="10" spans="1:41" ht="13.5" customHeight="1">
      <c r="A10" s="94"/>
      <c r="B10" s="154"/>
      <c r="C10" s="94"/>
      <c r="D10" s="94" t="s">
        <v>65</v>
      </c>
      <c r="E10" s="165">
        <f>SUM(IncomeStatements!D10)</f>
        <v>5083000</v>
      </c>
      <c r="F10" s="161"/>
      <c r="G10" s="161">
        <f>SUM(IncomeStatements!F10)</f>
        <v>5980000</v>
      </c>
      <c r="H10" s="161"/>
      <c r="I10" s="161">
        <f>SUM(IncomeStatements!H10)</f>
        <v>4485000</v>
      </c>
      <c r="J10" s="161"/>
      <c r="K10" s="162"/>
      <c r="L10" s="161"/>
      <c r="M10" s="213">
        <f>(E10-G10)</f>
        <v>-897000</v>
      </c>
      <c r="N10" s="94"/>
      <c r="O10" s="197">
        <f>M10/G10</f>
        <v>-0.15</v>
      </c>
      <c r="P10" s="197"/>
      <c r="Q10" s="371">
        <f>(G10-I10)</f>
        <v>1495000</v>
      </c>
      <c r="R10" s="197"/>
      <c r="S10" s="197">
        <f>Q10/I10</f>
        <v>0.3333333333333333</v>
      </c>
      <c r="T10" s="197"/>
      <c r="U10" s="479"/>
      <c r="V10" s="58"/>
      <c r="W10" s="204" t="s">
        <v>5</v>
      </c>
      <c r="X10" s="203"/>
      <c r="Y10" s="203"/>
      <c r="Z10" s="106"/>
      <c r="AA10" s="106"/>
      <c r="AB10" s="94"/>
      <c r="AC10" s="55"/>
      <c r="AD10" s="218"/>
      <c r="AE10" s="55"/>
      <c r="AF10" s="55"/>
      <c r="AG10" s="55"/>
      <c r="AH10" s="55"/>
      <c r="AI10" s="55"/>
      <c r="AJ10" s="55"/>
      <c r="AK10" s="3"/>
      <c r="AL10" s="3"/>
      <c r="AM10" s="3"/>
      <c r="AN10" s="3"/>
      <c r="AO10" s="3"/>
    </row>
    <row r="11" spans="1:41" ht="13.5" customHeight="1">
      <c r="A11" s="94"/>
      <c r="B11" s="154"/>
      <c r="C11" s="94"/>
      <c r="D11" s="94" t="s">
        <v>55</v>
      </c>
      <c r="E11" s="167">
        <f>SUM(IncomeStatements!D11)</f>
        <v>3711600</v>
      </c>
      <c r="F11" s="161"/>
      <c r="G11" s="167">
        <f>SUM(IncomeStatements!F11)</f>
        <v>4342000</v>
      </c>
      <c r="H11" s="161"/>
      <c r="I11" s="167">
        <f>SUM(IncomeStatements!H11)</f>
        <v>3294000</v>
      </c>
      <c r="J11" s="161"/>
      <c r="K11" s="166"/>
      <c r="L11" s="106"/>
      <c r="M11" s="473">
        <f>(E11-G11)</f>
        <v>-630400</v>
      </c>
      <c r="N11" s="94"/>
      <c r="O11" s="467">
        <f>M11/G11</f>
        <v>-0.14518654997696914</v>
      </c>
      <c r="P11" s="197"/>
      <c r="Q11" s="474">
        <f>(G11-I11)</f>
        <v>1048000</v>
      </c>
      <c r="R11" s="197"/>
      <c r="S11" s="467">
        <f>Q11/I11</f>
        <v>0.31815421979356406</v>
      </c>
      <c r="T11" s="464"/>
      <c r="U11" s="479"/>
      <c r="V11" s="58"/>
      <c r="W11" s="94"/>
      <c r="X11" s="106"/>
      <c r="Y11" s="106"/>
      <c r="Z11" s="106"/>
      <c r="AA11" s="106"/>
      <c r="AB11" s="94"/>
      <c r="AC11" s="55"/>
      <c r="AD11" s="218"/>
      <c r="AE11" s="55"/>
      <c r="AF11" s="55"/>
      <c r="AG11" s="55"/>
      <c r="AH11" s="55"/>
      <c r="AI11" s="55"/>
      <c r="AJ11" s="55"/>
      <c r="AK11" s="3"/>
      <c r="AL11" s="3"/>
      <c r="AM11" s="3"/>
      <c r="AN11" s="3"/>
      <c r="AO11" s="3"/>
    </row>
    <row r="12" spans="1:41" ht="13.5" customHeight="1">
      <c r="A12" s="94"/>
      <c r="B12" s="154"/>
      <c r="C12" s="94"/>
      <c r="D12" s="94" t="s">
        <v>66</v>
      </c>
      <c r="E12" s="161">
        <f>E10-E11</f>
        <v>1371400</v>
      </c>
      <c r="F12" s="161"/>
      <c r="G12" s="161">
        <f>G10-G11</f>
        <v>1638000</v>
      </c>
      <c r="H12" s="161"/>
      <c r="I12" s="161">
        <f>I10-I11</f>
        <v>1191000</v>
      </c>
      <c r="J12" s="161"/>
      <c r="K12" s="166"/>
      <c r="L12" s="106"/>
      <c r="M12" s="213">
        <f>(E12-G12)</f>
        <v>-266600</v>
      </c>
      <c r="N12" s="94"/>
      <c r="O12" s="197">
        <f>M12/G12</f>
        <v>-0.16275946275946276</v>
      </c>
      <c r="P12" s="197"/>
      <c r="Q12" s="371">
        <f>(G12-I12)</f>
        <v>447000</v>
      </c>
      <c r="R12" s="197"/>
      <c r="S12" s="197">
        <f>Q12/I12</f>
        <v>0.37531486146095716</v>
      </c>
      <c r="T12" s="197"/>
      <c r="U12" s="479"/>
      <c r="V12" s="58"/>
      <c r="W12" s="94" t="s">
        <v>7</v>
      </c>
      <c r="X12" s="205">
        <f>E61/E76</f>
        <v>5.352486675549634</v>
      </c>
      <c r="Y12" s="205"/>
      <c r="Z12" s="205">
        <f>G61/G76</f>
        <v>5.901654899443732</v>
      </c>
      <c r="AA12" s="106"/>
      <c r="AB12" s="278">
        <v>4.2</v>
      </c>
      <c r="AC12" s="55"/>
      <c r="AD12" s="218"/>
      <c r="AE12" s="55"/>
      <c r="AF12" s="55"/>
      <c r="AG12" s="55"/>
      <c r="AH12" s="55"/>
      <c r="AI12" s="55"/>
      <c r="AJ12" s="55"/>
      <c r="AK12" s="3"/>
      <c r="AL12" s="3"/>
      <c r="AM12" s="3"/>
      <c r="AN12" s="3"/>
      <c r="AO12" s="3"/>
    </row>
    <row r="13" spans="1:41" ht="13.5" customHeight="1">
      <c r="A13" s="94"/>
      <c r="B13" s="154"/>
      <c r="C13" s="94"/>
      <c r="D13" s="93"/>
      <c r="E13" s="106"/>
      <c r="F13" s="106"/>
      <c r="G13" s="106"/>
      <c r="H13" s="106"/>
      <c r="I13" s="106"/>
      <c r="J13" s="106"/>
      <c r="K13" s="162"/>
      <c r="L13" s="161"/>
      <c r="M13" s="213"/>
      <c r="N13" s="94"/>
      <c r="O13" s="197"/>
      <c r="P13" s="197"/>
      <c r="Q13" s="371"/>
      <c r="R13" s="197"/>
      <c r="S13" s="197"/>
      <c r="T13" s="197"/>
      <c r="U13" s="479"/>
      <c r="V13" s="58"/>
      <c r="W13" s="94"/>
      <c r="X13" s="106"/>
      <c r="Y13" s="106"/>
      <c r="Z13" s="106"/>
      <c r="AA13" s="106"/>
      <c r="AB13" s="278"/>
      <c r="AC13" s="55"/>
      <c r="AD13" s="218"/>
      <c r="AE13" s="55"/>
      <c r="AF13" s="55"/>
      <c r="AG13" s="55"/>
      <c r="AH13" s="55"/>
      <c r="AI13" s="55"/>
      <c r="AJ13" s="55"/>
      <c r="AK13" s="3"/>
      <c r="AL13" s="3"/>
      <c r="AM13" s="3"/>
      <c r="AN13" s="3"/>
      <c r="AO13" s="3"/>
    </row>
    <row r="14" spans="1:41" ht="13.5" customHeight="1">
      <c r="A14" s="94"/>
      <c r="B14" s="154"/>
      <c r="C14" s="94"/>
      <c r="D14" s="93" t="s">
        <v>67</v>
      </c>
      <c r="E14" s="106"/>
      <c r="F14" s="106"/>
      <c r="G14" s="106"/>
      <c r="H14" s="106"/>
      <c r="I14" s="161"/>
      <c r="J14" s="161"/>
      <c r="K14" s="166"/>
      <c r="L14" s="106"/>
      <c r="M14" s="213"/>
      <c r="N14" s="94"/>
      <c r="O14" s="197"/>
      <c r="P14" s="197"/>
      <c r="Q14" s="371"/>
      <c r="R14" s="197"/>
      <c r="S14" s="197"/>
      <c r="T14" s="197"/>
      <c r="U14" s="479"/>
      <c r="V14" s="58"/>
      <c r="W14" s="94" t="s">
        <v>8</v>
      </c>
      <c r="X14" s="206">
        <f>SUM(E54:E56)/E76</f>
        <v>4.247113590939374</v>
      </c>
      <c r="Y14" s="206"/>
      <c r="Z14" s="206">
        <f>SUM(G54:G56)/G76</f>
        <v>4.519250106974754</v>
      </c>
      <c r="AA14" s="106"/>
      <c r="AB14" s="278">
        <v>3.4</v>
      </c>
      <c r="AC14" s="55"/>
      <c r="AD14" s="218"/>
      <c r="AE14" s="55"/>
      <c r="AF14" s="55"/>
      <c r="AG14" s="55"/>
      <c r="AH14" s="55"/>
      <c r="AI14" s="55"/>
      <c r="AJ14" s="55"/>
      <c r="AK14" s="3"/>
      <c r="AL14" s="3"/>
      <c r="AM14" s="3"/>
      <c r="AN14" s="3"/>
      <c r="AO14" s="3"/>
    </row>
    <row r="15" spans="1:41" ht="13.5" customHeight="1">
      <c r="A15" s="94"/>
      <c r="B15" s="154"/>
      <c r="C15" s="94"/>
      <c r="D15" s="93" t="s">
        <v>71</v>
      </c>
      <c r="E15" s="94"/>
      <c r="F15" s="94"/>
      <c r="G15" s="94"/>
      <c r="H15" s="94"/>
      <c r="I15" s="106"/>
      <c r="J15" s="106"/>
      <c r="K15" s="164"/>
      <c r="L15" s="163"/>
      <c r="M15" s="213"/>
      <c r="N15" s="94"/>
      <c r="O15" s="197"/>
      <c r="P15" s="197"/>
      <c r="Q15" s="371"/>
      <c r="R15" s="197"/>
      <c r="S15" s="197"/>
      <c r="T15" s="197"/>
      <c r="U15" s="479"/>
      <c r="V15" s="58"/>
      <c r="W15" s="94"/>
      <c r="X15" s="205"/>
      <c r="Y15" s="205"/>
      <c r="Z15" s="205"/>
      <c r="AA15" s="106"/>
      <c r="AB15" s="279"/>
      <c r="AC15" s="55"/>
      <c r="AD15" s="218"/>
      <c r="AE15" s="55"/>
      <c r="AF15" s="55"/>
      <c r="AG15" s="55"/>
      <c r="AH15" s="55"/>
      <c r="AI15" s="55"/>
      <c r="AJ15" s="55"/>
      <c r="AK15" s="3"/>
      <c r="AL15" s="3"/>
      <c r="AM15" s="3"/>
      <c r="AN15" s="3"/>
      <c r="AO15" s="3"/>
    </row>
    <row r="16" spans="1:41" ht="13.5" customHeight="1">
      <c r="A16" s="94"/>
      <c r="B16" s="154"/>
      <c r="C16" s="94"/>
      <c r="D16" s="94" t="s">
        <v>69</v>
      </c>
      <c r="E16" s="161">
        <f>SUM(IncomeStatements!D16)</f>
        <v>27428</v>
      </c>
      <c r="F16" s="161"/>
      <c r="G16" s="161">
        <f>SUM(IncomeStatements!F16)</f>
        <v>32760</v>
      </c>
      <c r="H16" s="161"/>
      <c r="I16" s="161">
        <f>SUM(IncomeStatements!H16)</f>
        <v>23820</v>
      </c>
      <c r="J16" s="161"/>
      <c r="K16" s="164"/>
      <c r="L16" s="163"/>
      <c r="M16" s="213">
        <f aca="true" t="shared" si="0" ref="M16:M21">(E16-G16)</f>
        <v>-5332</v>
      </c>
      <c r="N16" s="94"/>
      <c r="O16" s="197">
        <f aca="true" t="shared" si="1" ref="O16:O21">M16/G16</f>
        <v>-0.16275946275946276</v>
      </c>
      <c r="P16" s="197"/>
      <c r="Q16" s="371">
        <f aca="true" t="shared" si="2" ref="Q16:Q21">(G16-I16)</f>
        <v>8940</v>
      </c>
      <c r="R16" s="197"/>
      <c r="S16" s="197">
        <f aca="true" t="shared" si="3" ref="S16:S21">Q16/I16</f>
        <v>0.37531486146095716</v>
      </c>
      <c r="T16" s="197"/>
      <c r="U16" s="479"/>
      <c r="V16" s="58"/>
      <c r="W16" s="94" t="s">
        <v>262</v>
      </c>
      <c r="X16" s="205" t="s">
        <v>235</v>
      </c>
      <c r="Y16" s="205"/>
      <c r="Z16" s="205" t="s">
        <v>235</v>
      </c>
      <c r="AA16" s="106"/>
      <c r="AB16" s="278">
        <v>3.4</v>
      </c>
      <c r="AC16" s="55"/>
      <c r="AD16" s="218"/>
      <c r="AE16" s="55"/>
      <c r="AF16" s="55"/>
      <c r="AG16" s="55"/>
      <c r="AH16" s="55"/>
      <c r="AI16" s="55"/>
      <c r="AJ16" s="55"/>
      <c r="AK16" s="3"/>
      <c r="AL16" s="3"/>
      <c r="AM16" s="3"/>
      <c r="AN16" s="3"/>
      <c r="AO16" s="3"/>
    </row>
    <row r="17" spans="1:41" ht="13.5" customHeight="1">
      <c r="A17" s="94"/>
      <c r="B17" s="154"/>
      <c r="C17" s="94"/>
      <c r="D17" s="94" t="s">
        <v>68</v>
      </c>
      <c r="E17" s="161">
        <f>SUM(IncomeStatements!D17)</f>
        <v>6000</v>
      </c>
      <c r="F17" s="161"/>
      <c r="G17" s="161">
        <f>SUM(IncomeStatements!F17)</f>
        <v>6000</v>
      </c>
      <c r="H17" s="161"/>
      <c r="I17" s="161">
        <f>SUM(IncomeStatements!H17)</f>
        <v>6000</v>
      </c>
      <c r="J17" s="161"/>
      <c r="K17" s="162"/>
      <c r="L17" s="161"/>
      <c r="M17" s="213">
        <f t="shared" si="0"/>
        <v>0</v>
      </c>
      <c r="N17" s="94"/>
      <c r="O17" s="197">
        <f t="shared" si="1"/>
        <v>0</v>
      </c>
      <c r="P17" s="197"/>
      <c r="Q17" s="371">
        <f t="shared" si="2"/>
        <v>0</v>
      </c>
      <c r="R17" s="197"/>
      <c r="S17" s="197">
        <f t="shared" si="3"/>
        <v>0</v>
      </c>
      <c r="T17" s="197"/>
      <c r="U17" s="479"/>
      <c r="V17" s="58"/>
      <c r="W17" s="94" t="s">
        <v>403</v>
      </c>
      <c r="X17" s="207"/>
      <c r="Y17" s="207"/>
      <c r="Z17" s="207"/>
      <c r="AA17" s="106"/>
      <c r="AB17" s="278"/>
      <c r="AC17" s="55"/>
      <c r="AD17" s="218"/>
      <c r="AE17" s="55"/>
      <c r="AF17" s="55"/>
      <c r="AG17" s="55"/>
      <c r="AH17" s="55"/>
      <c r="AI17" s="55"/>
      <c r="AJ17" s="55"/>
      <c r="AK17" s="3"/>
      <c r="AL17" s="3"/>
      <c r="AM17" s="3"/>
      <c r="AN17" s="3"/>
      <c r="AO17" s="3"/>
    </row>
    <row r="18" spans="1:41" ht="13.5" customHeight="1">
      <c r="A18" s="94"/>
      <c r="B18" s="154"/>
      <c r="C18" s="94"/>
      <c r="D18" s="94" t="s">
        <v>259</v>
      </c>
      <c r="E18" s="161">
        <f>IncomeStatements!D18</f>
        <v>152490</v>
      </c>
      <c r="F18" s="161"/>
      <c r="G18" s="161">
        <f>IncomeStatements!F18</f>
        <v>179400</v>
      </c>
      <c r="H18" s="161"/>
      <c r="I18" s="161">
        <f>IncomeStatements!H18</f>
        <v>134550</v>
      </c>
      <c r="J18" s="161"/>
      <c r="K18" s="162"/>
      <c r="L18" s="161"/>
      <c r="M18" s="213">
        <f t="shared" si="0"/>
        <v>-26910</v>
      </c>
      <c r="N18" s="94"/>
      <c r="O18" s="197">
        <f t="shared" si="1"/>
        <v>-0.15</v>
      </c>
      <c r="P18" s="197"/>
      <c r="Q18" s="371">
        <f t="shared" si="2"/>
        <v>44850</v>
      </c>
      <c r="R18" s="197"/>
      <c r="S18" s="197">
        <f t="shared" si="3"/>
        <v>0.3333333333333333</v>
      </c>
      <c r="T18" s="197"/>
      <c r="U18" s="479"/>
      <c r="V18" s="58"/>
      <c r="W18" s="94"/>
      <c r="X18" s="207"/>
      <c r="Y18" s="207"/>
      <c r="Z18" s="207"/>
      <c r="AA18" s="106"/>
      <c r="AB18" s="278"/>
      <c r="AC18" s="55"/>
      <c r="AD18" s="218"/>
      <c r="AE18" s="55"/>
      <c r="AF18" s="55"/>
      <c r="AG18" s="55"/>
      <c r="AH18" s="55"/>
      <c r="AI18" s="55"/>
      <c r="AJ18" s="55"/>
      <c r="AK18" s="3"/>
      <c r="AL18" s="3"/>
      <c r="AM18" s="3"/>
      <c r="AN18" s="3"/>
      <c r="AO18" s="3"/>
    </row>
    <row r="19" spans="1:41" ht="13.5" customHeight="1">
      <c r="A19" s="94"/>
      <c r="B19" s="154"/>
      <c r="C19" s="94"/>
      <c r="D19" s="94" t="s">
        <v>70</v>
      </c>
      <c r="E19" s="161">
        <f>SUM(IncomeStatements!D19)</f>
        <v>50830</v>
      </c>
      <c r="F19" s="111"/>
      <c r="G19" s="161">
        <f>SUM(IncomeStatements!F19)</f>
        <v>59800</v>
      </c>
      <c r="H19" s="111"/>
      <c r="I19" s="161">
        <f>SUM(IncomeStatements!H19)</f>
        <v>44850</v>
      </c>
      <c r="J19" s="161"/>
      <c r="K19" s="166"/>
      <c r="L19" s="106"/>
      <c r="M19" s="213">
        <f t="shared" si="0"/>
        <v>-8970</v>
      </c>
      <c r="N19" s="94"/>
      <c r="O19" s="197">
        <f t="shared" si="1"/>
        <v>-0.15</v>
      </c>
      <c r="P19" s="197"/>
      <c r="Q19" s="371">
        <f t="shared" si="2"/>
        <v>14950</v>
      </c>
      <c r="R19" s="197"/>
      <c r="S19" s="197">
        <f t="shared" si="3"/>
        <v>0.3333333333333333</v>
      </c>
      <c r="T19" s="197"/>
      <c r="U19" s="479"/>
      <c r="V19" s="58"/>
      <c r="W19" s="94" t="s">
        <v>263</v>
      </c>
      <c r="X19" s="208">
        <f>E56/(E10/365)</f>
        <v>43.800000000000004</v>
      </c>
      <c r="Y19" s="208"/>
      <c r="Z19" s="208">
        <f>G56/(G10/365)</f>
        <v>43.800000000000004</v>
      </c>
      <c r="AA19" s="106"/>
      <c r="AB19" s="278">
        <v>32.5</v>
      </c>
      <c r="AC19" s="55"/>
      <c r="AD19" s="218"/>
      <c r="AE19" s="55"/>
      <c r="AF19" s="55"/>
      <c r="AG19" s="55"/>
      <c r="AH19" s="55"/>
      <c r="AI19" s="55"/>
      <c r="AJ19" s="55"/>
      <c r="AK19" s="3"/>
      <c r="AL19" s="3"/>
      <c r="AM19" s="3"/>
      <c r="AN19" s="3"/>
      <c r="AO19" s="3"/>
    </row>
    <row r="20" spans="1:41" ht="13.5" customHeight="1">
      <c r="A20" s="94"/>
      <c r="B20" s="154"/>
      <c r="C20" s="94"/>
      <c r="D20" s="94" t="s">
        <v>82</v>
      </c>
      <c r="E20" s="167">
        <f>SUM(IncomeStatements!D20)</f>
        <v>102000</v>
      </c>
      <c r="F20" s="111"/>
      <c r="G20" s="167">
        <f>SUM(IncomeStatements!F20)</f>
        <v>120000</v>
      </c>
      <c r="H20" s="111"/>
      <c r="I20" s="167">
        <f>SUM(IncomeStatements!H20)</f>
        <v>90000</v>
      </c>
      <c r="J20" s="161"/>
      <c r="K20" s="166"/>
      <c r="L20" s="106"/>
      <c r="M20" s="473">
        <f t="shared" si="0"/>
        <v>-18000</v>
      </c>
      <c r="N20" s="94"/>
      <c r="O20" s="467">
        <f t="shared" si="1"/>
        <v>-0.15</v>
      </c>
      <c r="P20" s="197"/>
      <c r="Q20" s="371">
        <f t="shared" si="2"/>
        <v>30000</v>
      </c>
      <c r="R20" s="197"/>
      <c r="S20" s="467">
        <f t="shared" si="3"/>
        <v>0.3333333333333333</v>
      </c>
      <c r="T20" s="464"/>
      <c r="U20" s="479"/>
      <c r="V20" s="58"/>
      <c r="W20" s="94"/>
      <c r="X20" s="209"/>
      <c r="Y20" s="209"/>
      <c r="Z20" s="209"/>
      <c r="AA20" s="106"/>
      <c r="AB20" s="278"/>
      <c r="AC20" s="55"/>
      <c r="AD20" s="218"/>
      <c r="AE20" s="55"/>
      <c r="AF20" s="55"/>
      <c r="AG20" s="55"/>
      <c r="AH20" s="55"/>
      <c r="AI20" s="55"/>
      <c r="AJ20" s="55"/>
      <c r="AK20" s="3"/>
      <c r="AL20" s="3"/>
      <c r="AM20" s="3"/>
      <c r="AN20" s="3"/>
      <c r="AO20" s="3"/>
    </row>
    <row r="21" spans="1:41" ht="13.5" customHeight="1">
      <c r="A21" s="94"/>
      <c r="B21" s="154"/>
      <c r="C21" s="94"/>
      <c r="D21" s="94" t="s">
        <v>77</v>
      </c>
      <c r="E21" s="161">
        <f>E16+E17+E19+E20+E18</f>
        <v>338748</v>
      </c>
      <c r="F21" s="161"/>
      <c r="G21" s="161">
        <f>G16+G17+G19+G20+G18</f>
        <v>397960</v>
      </c>
      <c r="H21" s="161"/>
      <c r="I21" s="161">
        <f>I16+I17+I19+I20+I18</f>
        <v>299220</v>
      </c>
      <c r="J21" s="161"/>
      <c r="K21" s="169"/>
      <c r="L21" s="168"/>
      <c r="M21" s="213">
        <f t="shared" si="0"/>
        <v>-59212</v>
      </c>
      <c r="N21" s="94"/>
      <c r="O21" s="197">
        <f t="shared" si="1"/>
        <v>-0.14878882299728616</v>
      </c>
      <c r="P21" s="197"/>
      <c r="Q21" s="371">
        <f t="shared" si="2"/>
        <v>98740</v>
      </c>
      <c r="R21" s="197"/>
      <c r="S21" s="197">
        <f t="shared" si="3"/>
        <v>0.3299913107412606</v>
      </c>
      <c r="T21" s="197"/>
      <c r="U21" s="479"/>
      <c r="V21" s="58"/>
      <c r="W21" s="94" t="s">
        <v>264</v>
      </c>
      <c r="X21" s="210">
        <f>E81/E69</f>
        <v>0.4587176684484967</v>
      </c>
      <c r="Y21" s="106"/>
      <c r="Z21" s="210">
        <f>G81/G69</f>
        <v>0.4673764056874432</v>
      </c>
      <c r="AA21" s="106"/>
      <c r="AB21" s="280">
        <v>0.38</v>
      </c>
      <c r="AC21" s="55"/>
      <c r="AD21" s="218"/>
      <c r="AE21" s="55"/>
      <c r="AF21" s="55"/>
      <c r="AG21" s="55"/>
      <c r="AH21" s="55"/>
      <c r="AI21" s="55"/>
      <c r="AJ21" s="55"/>
      <c r="AK21" s="3"/>
      <c r="AL21" s="3"/>
      <c r="AM21" s="3"/>
      <c r="AN21" s="3"/>
      <c r="AO21" s="3"/>
    </row>
    <row r="22" spans="1:41" ht="13.5" customHeight="1">
      <c r="A22" s="94"/>
      <c r="B22" s="154"/>
      <c r="C22" s="94"/>
      <c r="D22" s="94"/>
      <c r="E22" s="111"/>
      <c r="F22" s="111"/>
      <c r="G22" s="111"/>
      <c r="H22" s="111"/>
      <c r="I22" s="161"/>
      <c r="J22" s="161"/>
      <c r="K22" s="169"/>
      <c r="L22" s="168"/>
      <c r="M22" s="213"/>
      <c r="N22" s="94"/>
      <c r="O22" s="197"/>
      <c r="P22" s="197"/>
      <c r="Q22" s="371"/>
      <c r="R22" s="197"/>
      <c r="S22" s="197"/>
      <c r="T22" s="197"/>
      <c r="U22" s="479"/>
      <c r="V22" s="58"/>
      <c r="W22" s="94"/>
      <c r="X22" s="205"/>
      <c r="Y22" s="205"/>
      <c r="Z22" s="205"/>
      <c r="AA22" s="106"/>
      <c r="AB22" s="278"/>
      <c r="AC22" s="55"/>
      <c r="AD22" s="218"/>
      <c r="AE22" s="55"/>
      <c r="AF22" s="55"/>
      <c r="AG22" s="55"/>
      <c r="AH22" s="55"/>
      <c r="AI22" s="55"/>
      <c r="AJ22" s="55"/>
      <c r="AK22" s="3"/>
      <c r="AL22" s="3"/>
      <c r="AM22" s="3"/>
      <c r="AN22" s="3"/>
      <c r="AO22" s="3"/>
    </row>
    <row r="23" spans="1:41" ht="13.5" customHeight="1">
      <c r="A23" s="94"/>
      <c r="B23" s="154"/>
      <c r="C23" s="94"/>
      <c r="D23" s="93" t="s">
        <v>72</v>
      </c>
      <c r="E23" s="111"/>
      <c r="F23" s="111"/>
      <c r="G23" s="111"/>
      <c r="H23" s="111"/>
      <c r="I23" s="161"/>
      <c r="J23" s="161"/>
      <c r="K23" s="162"/>
      <c r="L23" s="161"/>
      <c r="M23" s="213"/>
      <c r="N23" s="94"/>
      <c r="O23" s="197"/>
      <c r="P23" s="197"/>
      <c r="Q23" s="371"/>
      <c r="R23" s="197"/>
      <c r="S23" s="197"/>
      <c r="T23" s="197"/>
      <c r="U23" s="479"/>
      <c r="V23" s="58"/>
      <c r="W23" s="94" t="s">
        <v>265</v>
      </c>
      <c r="X23" s="210">
        <f>E12/E10</f>
        <v>0.2698012984457997</v>
      </c>
      <c r="Y23" s="211"/>
      <c r="Z23" s="210">
        <f>G12/G10</f>
        <v>0.27391304347826084</v>
      </c>
      <c r="AA23" s="106"/>
      <c r="AB23" s="281">
        <v>0.321</v>
      </c>
      <c r="AC23" s="55"/>
      <c r="AD23" s="218"/>
      <c r="AE23" s="55"/>
      <c r="AF23" s="55"/>
      <c r="AG23" s="55"/>
      <c r="AH23" s="55"/>
      <c r="AI23" s="55"/>
      <c r="AJ23" s="55"/>
      <c r="AK23" s="3"/>
      <c r="AL23" s="3"/>
      <c r="AM23" s="3"/>
      <c r="AN23" s="3"/>
      <c r="AO23" s="3"/>
    </row>
    <row r="24" spans="1:41" ht="13.5" customHeight="1">
      <c r="A24" s="94"/>
      <c r="B24" s="154"/>
      <c r="C24" s="94"/>
      <c r="D24" s="94" t="s">
        <v>78</v>
      </c>
      <c r="E24" s="161">
        <f>SUM(IncomeStatements!D24)</f>
        <v>170000</v>
      </c>
      <c r="F24" s="111"/>
      <c r="G24" s="161">
        <f>SUM(IncomeStatements!F24)</f>
        <v>170000</v>
      </c>
      <c r="H24" s="111"/>
      <c r="I24" s="161">
        <f>SUM(IncomeStatements!H24)</f>
        <v>140000</v>
      </c>
      <c r="J24" s="161"/>
      <c r="K24" s="166"/>
      <c r="L24" s="106"/>
      <c r="M24" s="213">
        <f aca="true" t="shared" si="4" ref="M24:M32">(E24-G24)</f>
        <v>0</v>
      </c>
      <c r="N24" s="94"/>
      <c r="O24" s="197">
        <f aca="true" t="shared" si="5" ref="O24:O35">M24/G24</f>
        <v>0</v>
      </c>
      <c r="P24" s="197"/>
      <c r="Q24" s="371">
        <f aca="true" t="shared" si="6" ref="Q24:Q34">(G24-I24)</f>
        <v>30000</v>
      </c>
      <c r="R24" s="197"/>
      <c r="S24" s="197">
        <f aca="true" t="shared" si="7" ref="S24:S34">Q24/I24</f>
        <v>0.21428571428571427</v>
      </c>
      <c r="T24" s="197"/>
      <c r="U24" s="479"/>
      <c r="V24" s="58"/>
      <c r="W24" s="94"/>
      <c r="X24" s="205"/>
      <c r="Y24" s="205"/>
      <c r="Z24" s="205"/>
      <c r="AA24" s="106"/>
      <c r="AB24" s="278"/>
      <c r="AC24" s="55"/>
      <c r="AD24" s="218"/>
      <c r="AE24" s="55"/>
      <c r="AF24" s="55"/>
      <c r="AG24" s="55"/>
      <c r="AH24" s="55"/>
      <c r="AI24" s="55"/>
      <c r="AJ24" s="55"/>
      <c r="AK24" s="3"/>
      <c r="AL24" s="3"/>
      <c r="AM24" s="3"/>
      <c r="AN24" s="3"/>
      <c r="AO24" s="3"/>
    </row>
    <row r="25" spans="1:41" ht="13.5" customHeight="1">
      <c r="A25" s="94"/>
      <c r="B25" s="154"/>
      <c r="C25" s="94"/>
      <c r="D25" s="94" t="s">
        <v>79</v>
      </c>
      <c r="E25" s="161">
        <f>SUM(IncomeStatements!D25)</f>
        <v>220000</v>
      </c>
      <c r="F25" s="111"/>
      <c r="G25" s="161">
        <f>SUM(IncomeStatements!F25)</f>
        <v>220000</v>
      </c>
      <c r="H25" s="111"/>
      <c r="I25" s="161">
        <f>SUM(IncomeStatements!H25)</f>
        <v>170000</v>
      </c>
      <c r="J25" s="161"/>
      <c r="K25" s="164"/>
      <c r="L25" s="163"/>
      <c r="M25" s="213">
        <f t="shared" si="4"/>
        <v>0</v>
      </c>
      <c r="N25" s="94"/>
      <c r="O25" s="197">
        <f t="shared" si="5"/>
        <v>0</v>
      </c>
      <c r="P25" s="197"/>
      <c r="Q25" s="371">
        <f t="shared" si="6"/>
        <v>50000</v>
      </c>
      <c r="R25" s="197"/>
      <c r="S25" s="197">
        <f t="shared" si="7"/>
        <v>0.29411764705882354</v>
      </c>
      <c r="T25" s="197"/>
      <c r="U25" s="479"/>
      <c r="V25" s="58"/>
      <c r="W25" s="94" t="s">
        <v>266</v>
      </c>
      <c r="X25" s="210">
        <f>E35/E10</f>
        <v>0.019188077906747984</v>
      </c>
      <c r="Y25" s="211"/>
      <c r="Z25" s="210">
        <f>G35/G10</f>
        <v>0.052830267558528425</v>
      </c>
      <c r="AA25" s="106"/>
      <c r="AB25" s="281">
        <v>0.052</v>
      </c>
      <c r="AC25" s="55"/>
      <c r="AD25" s="218"/>
      <c r="AE25" s="55"/>
      <c r="AF25" s="55"/>
      <c r="AG25" s="55"/>
      <c r="AH25" s="55"/>
      <c r="AI25" s="55"/>
      <c r="AJ25" s="55"/>
      <c r="AK25" s="3"/>
      <c r="AL25" s="3"/>
      <c r="AM25" s="3"/>
      <c r="AN25" s="3"/>
      <c r="AO25" s="3"/>
    </row>
    <row r="26" spans="1:41" ht="13.5" customHeight="1">
      <c r="A26" s="94"/>
      <c r="B26" s="154"/>
      <c r="C26" s="94"/>
      <c r="D26" s="94" t="s">
        <v>80</v>
      </c>
      <c r="E26" s="161">
        <f>SUM(IncomeStatements!D26)</f>
        <v>29835</v>
      </c>
      <c r="F26" s="161"/>
      <c r="G26" s="161">
        <f>SUM(IncomeStatements!F26)</f>
        <v>29835</v>
      </c>
      <c r="H26" s="161"/>
      <c r="I26" s="161">
        <f>SUM(IncomeStatements!H26)</f>
        <v>23715</v>
      </c>
      <c r="J26" s="161"/>
      <c r="K26" s="164"/>
      <c r="L26" s="163"/>
      <c r="M26" s="213">
        <f t="shared" si="4"/>
        <v>0</v>
      </c>
      <c r="N26" s="94"/>
      <c r="O26" s="197">
        <f t="shared" si="5"/>
        <v>0</v>
      </c>
      <c r="P26" s="197"/>
      <c r="Q26" s="371">
        <f t="shared" si="6"/>
        <v>6120</v>
      </c>
      <c r="R26" s="197"/>
      <c r="S26" s="197">
        <f t="shared" si="7"/>
        <v>0.25806451612903225</v>
      </c>
      <c r="T26" s="197"/>
      <c r="U26" s="479"/>
      <c r="V26" s="58"/>
      <c r="W26" s="94"/>
      <c r="X26" s="210"/>
      <c r="Y26" s="211"/>
      <c r="Z26" s="210"/>
      <c r="AA26" s="106"/>
      <c r="AB26" s="278"/>
      <c r="AC26" s="55"/>
      <c r="AD26" s="218"/>
      <c r="AE26" s="55"/>
      <c r="AF26" s="55"/>
      <c r="AG26" s="55"/>
      <c r="AH26" s="55"/>
      <c r="AI26" s="55"/>
      <c r="AJ26" s="55"/>
      <c r="AK26" s="3"/>
      <c r="AL26" s="3"/>
      <c r="AM26" s="3"/>
      <c r="AN26" s="3"/>
      <c r="AO26" s="3"/>
    </row>
    <row r="27" spans="1:41" ht="13.5" customHeight="1">
      <c r="A27" s="94"/>
      <c r="B27" s="154"/>
      <c r="C27" s="94"/>
      <c r="D27" s="94" t="s">
        <v>73</v>
      </c>
      <c r="E27" s="161">
        <f>SUM(IncomeStatements!D27)</f>
        <v>150000</v>
      </c>
      <c r="F27" s="111"/>
      <c r="G27" s="161">
        <f>SUM(IncomeStatements!F27)</f>
        <v>135000</v>
      </c>
      <c r="H27" s="111"/>
      <c r="I27" s="161">
        <f>SUM(IncomeStatements!H27)</f>
        <v>130000</v>
      </c>
      <c r="J27" s="161"/>
      <c r="K27" s="166"/>
      <c r="L27" s="106"/>
      <c r="M27" s="213">
        <f t="shared" si="4"/>
        <v>15000</v>
      </c>
      <c r="N27" s="94"/>
      <c r="O27" s="197">
        <f t="shared" si="5"/>
        <v>0.1111111111111111</v>
      </c>
      <c r="P27" s="197"/>
      <c r="Q27" s="371">
        <f t="shared" si="6"/>
        <v>5000</v>
      </c>
      <c r="R27" s="197"/>
      <c r="S27" s="197">
        <f t="shared" si="7"/>
        <v>0.038461538461538464</v>
      </c>
      <c r="T27" s="197"/>
      <c r="U27" s="479"/>
      <c r="V27" s="58"/>
      <c r="W27" s="94" t="s">
        <v>267</v>
      </c>
      <c r="X27" s="210">
        <f>E44/E10</f>
        <v>0.007102055872516231</v>
      </c>
      <c r="Y27" s="211"/>
      <c r="Z27" s="210">
        <f>G44/G10</f>
        <v>0.03282504180602007</v>
      </c>
      <c r="AA27" s="106"/>
      <c r="AB27" s="281">
        <v>0.0514</v>
      </c>
      <c r="AC27" s="55"/>
      <c r="AD27" s="218"/>
      <c r="AE27" s="55"/>
      <c r="AF27" s="55"/>
      <c r="AG27" s="55"/>
      <c r="AH27" s="55"/>
      <c r="AI27" s="55"/>
      <c r="AJ27" s="55"/>
      <c r="AK27" s="3"/>
      <c r="AL27" s="3"/>
      <c r="AM27" s="3"/>
      <c r="AN27" s="3"/>
      <c r="AO27" s="3"/>
    </row>
    <row r="28" spans="1:41" ht="13.5" customHeight="1">
      <c r="A28" s="94"/>
      <c r="B28" s="154"/>
      <c r="C28" s="94"/>
      <c r="D28" s="94" t="s">
        <v>333</v>
      </c>
      <c r="E28" s="161">
        <f>SUM(IncomeStatements!D28)</f>
        <v>33000</v>
      </c>
      <c r="F28" s="111"/>
      <c r="G28" s="161">
        <f>SUM(IncomeStatements!F28)</f>
        <v>33000</v>
      </c>
      <c r="H28" s="111"/>
      <c r="I28" s="161">
        <f>SUM(IncomeStatements!H28)</f>
        <v>32000</v>
      </c>
      <c r="J28" s="161"/>
      <c r="K28" s="154"/>
      <c r="L28" s="94"/>
      <c r="M28" s="213">
        <f t="shared" si="4"/>
        <v>0</v>
      </c>
      <c r="N28" s="94"/>
      <c r="O28" s="197">
        <f t="shared" si="5"/>
        <v>0</v>
      </c>
      <c r="P28" s="197"/>
      <c r="Q28" s="371">
        <f t="shared" si="6"/>
        <v>1000</v>
      </c>
      <c r="R28" s="197"/>
      <c r="S28" s="197">
        <f t="shared" si="7"/>
        <v>0.03125</v>
      </c>
      <c r="T28" s="197"/>
      <c r="U28" s="479"/>
      <c r="V28" s="55"/>
      <c r="W28" s="94"/>
      <c r="X28" s="205"/>
      <c r="Y28" s="205"/>
      <c r="Z28" s="205"/>
      <c r="AA28" s="106"/>
      <c r="AB28" s="278"/>
      <c r="AC28" s="55"/>
      <c r="AD28" s="218"/>
      <c r="AE28" s="55"/>
      <c r="AF28" s="55"/>
      <c r="AG28" s="55"/>
      <c r="AH28" s="55"/>
      <c r="AI28" s="55"/>
      <c r="AJ28" s="55"/>
      <c r="AK28" s="3"/>
      <c r="AL28" s="3"/>
      <c r="AM28" s="3"/>
      <c r="AN28" s="3"/>
      <c r="AO28" s="3"/>
    </row>
    <row r="29" spans="1:41" ht="13.5" customHeight="1">
      <c r="A29" s="94"/>
      <c r="B29" s="154"/>
      <c r="C29" s="94"/>
      <c r="D29" s="94" t="s">
        <v>81</v>
      </c>
      <c r="E29" s="161">
        <f>SUM(IncomeStatements!D29)</f>
        <v>82284</v>
      </c>
      <c r="F29" s="161"/>
      <c r="G29" s="161">
        <f>SUM(IncomeStatements!F29)</f>
        <v>98280</v>
      </c>
      <c r="H29" s="161"/>
      <c r="I29" s="161">
        <f>SUM(IncomeStatements!H29)</f>
        <v>71460</v>
      </c>
      <c r="J29" s="161"/>
      <c r="K29" s="154"/>
      <c r="L29" s="94"/>
      <c r="M29" s="213">
        <f t="shared" si="4"/>
        <v>-15996</v>
      </c>
      <c r="N29" s="94"/>
      <c r="O29" s="197">
        <f t="shared" si="5"/>
        <v>-0.16275946275946276</v>
      </c>
      <c r="P29" s="197"/>
      <c r="Q29" s="371">
        <f t="shared" si="6"/>
        <v>26820</v>
      </c>
      <c r="R29" s="197"/>
      <c r="S29" s="197">
        <f t="shared" si="7"/>
        <v>0.37531486146095716</v>
      </c>
      <c r="T29" s="197"/>
      <c r="U29" s="480"/>
      <c r="V29" s="56"/>
      <c r="W29" s="94" t="s">
        <v>191</v>
      </c>
      <c r="X29" s="205">
        <f>E44/975000</f>
        <v>0.03702538461538461</v>
      </c>
      <c r="Y29" s="211"/>
      <c r="Z29" s="205">
        <f>G44/975000</f>
        <v>0.20132692307692307</v>
      </c>
      <c r="AA29" s="106"/>
      <c r="AB29" s="278">
        <v>0.08</v>
      </c>
      <c r="AC29" s="55"/>
      <c r="AD29" s="218"/>
      <c r="AE29" s="55"/>
      <c r="AF29" s="55"/>
      <c r="AG29" s="55"/>
      <c r="AH29" s="55"/>
      <c r="AI29" s="55"/>
      <c r="AJ29" s="55"/>
      <c r="AK29" s="3"/>
      <c r="AL29" s="3"/>
      <c r="AM29" s="3"/>
      <c r="AN29" s="3"/>
      <c r="AO29" s="3"/>
    </row>
    <row r="30" spans="1:41" ht="13.5" customHeight="1">
      <c r="A30" s="94"/>
      <c r="B30" s="154"/>
      <c r="C30" s="94"/>
      <c r="D30" s="94" t="s">
        <v>84</v>
      </c>
      <c r="E30" s="161">
        <f>SUM(IncomeStatements!D30)</f>
        <v>80000</v>
      </c>
      <c r="F30" s="111"/>
      <c r="G30" s="161">
        <f>SUM(IncomeStatements!F30)</f>
        <v>80000</v>
      </c>
      <c r="H30" s="111"/>
      <c r="I30" s="161">
        <f>SUM(IncomeStatements!H30)</f>
        <v>80000</v>
      </c>
      <c r="J30" s="161"/>
      <c r="K30" s="154"/>
      <c r="L30" s="94"/>
      <c r="M30" s="213">
        <f t="shared" si="4"/>
        <v>0</v>
      </c>
      <c r="N30" s="94"/>
      <c r="O30" s="197">
        <f t="shared" si="5"/>
        <v>0</v>
      </c>
      <c r="P30" s="197"/>
      <c r="Q30" s="371">
        <f t="shared" si="6"/>
        <v>0</v>
      </c>
      <c r="R30" s="197"/>
      <c r="S30" s="197">
        <f t="shared" si="7"/>
        <v>0</v>
      </c>
      <c r="T30" s="197"/>
      <c r="U30" s="480"/>
      <c r="V30" s="56"/>
      <c r="W30" s="94"/>
      <c r="X30" s="106"/>
      <c r="Y30" s="106"/>
      <c r="Z30" s="106"/>
      <c r="AA30" s="106"/>
      <c r="AB30" s="278"/>
      <c r="AC30" s="55"/>
      <c r="AD30" s="218"/>
      <c r="AE30" s="55"/>
      <c r="AF30" s="55"/>
      <c r="AG30" s="55"/>
      <c r="AH30" s="55"/>
      <c r="AI30" s="55"/>
      <c r="AJ30" s="55"/>
      <c r="AK30" s="3"/>
      <c r="AL30" s="3"/>
      <c r="AM30" s="3"/>
      <c r="AN30" s="3"/>
      <c r="AO30" s="3"/>
    </row>
    <row r="31" spans="1:41" ht="13.5" customHeight="1">
      <c r="A31" s="94"/>
      <c r="B31" s="154"/>
      <c r="C31" s="94"/>
      <c r="D31" s="94" t="s">
        <v>75</v>
      </c>
      <c r="E31" s="167">
        <f>SUM(IncomeStatements!D31)</f>
        <v>170000</v>
      </c>
      <c r="F31" s="111"/>
      <c r="G31" s="167">
        <f>SUM(IncomeStatements!F31)</f>
        <v>158000</v>
      </c>
      <c r="H31" s="111"/>
      <c r="I31" s="167">
        <f>SUM(IncomeStatements!H31)</f>
        <v>120500</v>
      </c>
      <c r="J31" s="161"/>
      <c r="K31" s="154"/>
      <c r="L31" s="94"/>
      <c r="M31" s="473">
        <f t="shared" si="4"/>
        <v>12000</v>
      </c>
      <c r="N31" s="94"/>
      <c r="O31" s="467">
        <f t="shared" si="5"/>
        <v>0.0759493670886076</v>
      </c>
      <c r="P31" s="197"/>
      <c r="Q31" s="474">
        <f t="shared" si="6"/>
        <v>37500</v>
      </c>
      <c r="R31" s="197"/>
      <c r="S31" s="467">
        <f t="shared" si="7"/>
        <v>0.3112033195020747</v>
      </c>
      <c r="T31" s="464"/>
      <c r="U31" s="480"/>
      <c r="V31" s="56"/>
      <c r="W31" s="94" t="s">
        <v>268</v>
      </c>
      <c r="X31" s="210">
        <f>E44/E69</f>
        <v>0.008362586178958499</v>
      </c>
      <c r="Y31" s="106"/>
      <c r="Z31" s="210">
        <f>G44/G69</f>
        <v>0.04544660788324643</v>
      </c>
      <c r="AA31" s="106"/>
      <c r="AB31" s="281">
        <v>0.048</v>
      </c>
      <c r="AC31" s="55"/>
      <c r="AD31" s="218"/>
      <c r="AE31" s="55"/>
      <c r="AF31" s="55"/>
      <c r="AG31" s="55"/>
      <c r="AH31" s="55"/>
      <c r="AI31" s="55"/>
      <c r="AJ31" s="55"/>
      <c r="AK31" s="3"/>
      <c r="AL31" s="3"/>
      <c r="AM31" s="3"/>
      <c r="AN31" s="3"/>
      <c r="AO31" s="3"/>
    </row>
    <row r="32" spans="1:41" ht="13.5" customHeight="1">
      <c r="A32" s="94"/>
      <c r="B32" s="154"/>
      <c r="C32" s="94"/>
      <c r="D32" s="94" t="s">
        <v>76</v>
      </c>
      <c r="E32" s="161">
        <f>SUM(E24:E31)</f>
        <v>935119</v>
      </c>
      <c r="F32" s="161"/>
      <c r="G32" s="161">
        <f>SUM(G24:G31)</f>
        <v>924115</v>
      </c>
      <c r="H32" s="161"/>
      <c r="I32" s="161">
        <f>SUM(I24:I31)</f>
        <v>767675</v>
      </c>
      <c r="J32" s="161"/>
      <c r="K32" s="154"/>
      <c r="L32" s="94"/>
      <c r="M32" s="213">
        <f t="shared" si="4"/>
        <v>11004</v>
      </c>
      <c r="N32" s="94"/>
      <c r="O32" s="197">
        <f t="shared" si="5"/>
        <v>0.011907608901489532</v>
      </c>
      <c r="P32" s="197"/>
      <c r="Q32" s="371">
        <f t="shared" si="6"/>
        <v>156440</v>
      </c>
      <c r="R32" s="197"/>
      <c r="S32" s="197">
        <f t="shared" si="7"/>
        <v>0.20378415345035333</v>
      </c>
      <c r="T32" s="197"/>
      <c r="U32" s="480"/>
      <c r="V32" s="56"/>
      <c r="W32" s="94"/>
      <c r="X32" s="106"/>
      <c r="Y32" s="106"/>
      <c r="Z32" s="106"/>
      <c r="AA32" s="26"/>
      <c r="AB32" s="278"/>
      <c r="AC32" s="55"/>
      <c r="AD32" s="218"/>
      <c r="AE32" s="55"/>
      <c r="AF32" s="55"/>
      <c r="AG32" s="55"/>
      <c r="AH32" s="55"/>
      <c r="AI32" s="55"/>
      <c r="AJ32" s="55"/>
      <c r="AK32" s="3"/>
      <c r="AL32" s="3"/>
      <c r="AM32" s="3"/>
      <c r="AN32" s="3"/>
      <c r="AO32" s="3"/>
    </row>
    <row r="33" spans="1:41" ht="13.5" customHeight="1">
      <c r="A33" s="94"/>
      <c r="B33" s="154"/>
      <c r="C33" s="94"/>
      <c r="D33" s="94"/>
      <c r="E33" s="111"/>
      <c r="F33" s="111"/>
      <c r="G33" s="111"/>
      <c r="H33" s="111"/>
      <c r="I33" s="111"/>
      <c r="J33" s="111"/>
      <c r="K33" s="154"/>
      <c r="L33" s="94"/>
      <c r="M33" s="213"/>
      <c r="N33" s="94"/>
      <c r="O33" s="197"/>
      <c r="P33" s="197"/>
      <c r="Q33" s="371"/>
      <c r="R33" s="197"/>
      <c r="S33" s="197"/>
      <c r="T33" s="197"/>
      <c r="U33" s="479"/>
      <c r="V33" s="55"/>
      <c r="W33" s="94" t="s">
        <v>269</v>
      </c>
      <c r="X33" s="210">
        <f>E44/E88</f>
        <v>0.01544958276208355</v>
      </c>
      <c r="Y33" s="106"/>
      <c r="Z33" s="210">
        <f>G44/G88</f>
        <v>0.08532593818323644</v>
      </c>
      <c r="AA33" s="106"/>
      <c r="AB33" s="281">
        <v>0.081</v>
      </c>
      <c r="AC33" s="55"/>
      <c r="AD33" s="218"/>
      <c r="AE33" s="55"/>
      <c r="AF33" s="55"/>
      <c r="AG33" s="55"/>
      <c r="AH33" s="55"/>
      <c r="AI33" s="55"/>
      <c r="AJ33" s="55"/>
      <c r="AK33" s="3"/>
      <c r="AL33" s="3"/>
      <c r="AM33" s="3"/>
      <c r="AN33" s="3"/>
      <c r="AO33" s="3"/>
    </row>
    <row r="34" spans="1:41" ht="13.5" customHeight="1">
      <c r="A34" s="94"/>
      <c r="B34" s="154"/>
      <c r="C34" s="94"/>
      <c r="D34" s="93" t="s">
        <v>13</v>
      </c>
      <c r="E34" s="167">
        <f>E21+E32</f>
        <v>1273867</v>
      </c>
      <c r="F34" s="161"/>
      <c r="G34" s="167">
        <f>G21+G32</f>
        <v>1322075</v>
      </c>
      <c r="H34" s="161"/>
      <c r="I34" s="167">
        <f>I21+I32</f>
        <v>1066895</v>
      </c>
      <c r="J34" s="165"/>
      <c r="K34" s="154"/>
      <c r="L34" s="94"/>
      <c r="M34" s="473">
        <f>(E34-G34)</f>
        <v>-48208</v>
      </c>
      <c r="N34" s="94"/>
      <c r="O34" s="467">
        <f t="shared" si="5"/>
        <v>-0.03646389198797345</v>
      </c>
      <c r="P34" s="197"/>
      <c r="Q34" s="371">
        <f t="shared" si="6"/>
        <v>255180</v>
      </c>
      <c r="R34" s="197"/>
      <c r="S34" s="197">
        <f t="shared" si="7"/>
        <v>0.23918005052043548</v>
      </c>
      <c r="T34" s="197"/>
      <c r="U34" s="479"/>
      <c r="V34" s="55"/>
      <c r="W34" s="94"/>
      <c r="X34" s="106"/>
      <c r="Y34" s="106"/>
      <c r="Z34" s="106"/>
      <c r="AA34" s="106"/>
      <c r="AB34" s="278"/>
      <c r="AC34" s="55"/>
      <c r="AD34" s="218"/>
      <c r="AE34" s="55"/>
      <c r="AF34" s="55"/>
      <c r="AG34" s="55"/>
      <c r="AH34" s="55"/>
      <c r="AI34" s="55"/>
      <c r="AJ34" s="55"/>
      <c r="AK34" s="3"/>
      <c r="AL34" s="3"/>
      <c r="AM34" s="3"/>
      <c r="AN34" s="3"/>
      <c r="AO34" s="3"/>
    </row>
    <row r="35" spans="1:41" ht="13.5" customHeight="1">
      <c r="A35" s="94"/>
      <c r="B35" s="154"/>
      <c r="C35" s="94"/>
      <c r="D35" s="93" t="s">
        <v>14</v>
      </c>
      <c r="E35" s="161">
        <f>E12-E34</f>
        <v>97533</v>
      </c>
      <c r="F35" s="161"/>
      <c r="G35" s="161">
        <f>G12-G34</f>
        <v>315925</v>
      </c>
      <c r="H35" s="161"/>
      <c r="I35" s="161">
        <f>I12-I34</f>
        <v>124105</v>
      </c>
      <c r="J35" s="161"/>
      <c r="K35" s="154"/>
      <c r="L35" s="94"/>
      <c r="M35" s="213">
        <f>(E35-G35)</f>
        <v>-218392</v>
      </c>
      <c r="N35" s="94"/>
      <c r="O35" s="197">
        <f t="shared" si="5"/>
        <v>-0.6912779931945873</v>
      </c>
      <c r="P35" s="197"/>
      <c r="Q35" s="371">
        <f>(G35-I35)</f>
        <v>191820</v>
      </c>
      <c r="R35" s="197"/>
      <c r="S35" s="197">
        <f>Q35/I35</f>
        <v>1.5456266870794892</v>
      </c>
      <c r="T35" s="197"/>
      <c r="U35" s="479"/>
      <c r="V35" s="55"/>
      <c r="W35" s="94" t="s">
        <v>270</v>
      </c>
      <c r="X35" s="205">
        <f>3.1/X29</f>
        <v>83.7263415951634</v>
      </c>
      <c r="Y35" s="106"/>
      <c r="Z35" s="205">
        <f>10/Z29</f>
        <v>49.67045563091031</v>
      </c>
      <c r="AA35" s="106"/>
      <c r="AB35" s="278">
        <v>29</v>
      </c>
      <c r="AC35" s="55"/>
      <c r="AD35" s="218"/>
      <c r="AE35" s="55"/>
      <c r="AF35" s="55"/>
      <c r="AG35" s="55"/>
      <c r="AH35" s="55"/>
      <c r="AI35" s="55"/>
      <c r="AJ35" s="55"/>
      <c r="AK35" s="3"/>
      <c r="AL35" s="3"/>
      <c r="AM35" s="3"/>
      <c r="AN35" s="3"/>
      <c r="AO35" s="3"/>
    </row>
    <row r="36" spans="1:41" ht="13.5" customHeight="1">
      <c r="A36" s="94"/>
      <c r="B36" s="154"/>
      <c r="C36" s="94"/>
      <c r="D36" s="93"/>
      <c r="E36" s="161"/>
      <c r="F36" s="161"/>
      <c r="G36" s="161"/>
      <c r="H36" s="161"/>
      <c r="I36" s="161"/>
      <c r="J36" s="161"/>
      <c r="K36" s="154"/>
      <c r="L36" s="94"/>
      <c r="M36" s="213"/>
      <c r="N36" s="94"/>
      <c r="O36" s="197"/>
      <c r="P36" s="197"/>
      <c r="Q36" s="371"/>
      <c r="R36" s="197"/>
      <c r="S36" s="197"/>
      <c r="T36" s="197"/>
      <c r="U36" s="479"/>
      <c r="V36" s="55"/>
      <c r="W36" s="4"/>
      <c r="X36" s="26"/>
      <c r="Y36" s="26"/>
      <c r="Z36" s="26"/>
      <c r="AA36" s="26"/>
      <c r="AB36" s="279"/>
      <c r="AC36" s="55"/>
      <c r="AD36" s="218"/>
      <c r="AE36" s="55"/>
      <c r="AF36" s="55"/>
      <c r="AG36" s="55"/>
      <c r="AH36" s="55"/>
      <c r="AI36" s="55"/>
      <c r="AJ36" s="55"/>
      <c r="AK36" s="3"/>
      <c r="AL36" s="3"/>
      <c r="AM36" s="3"/>
      <c r="AN36" s="3"/>
      <c r="AO36" s="3"/>
    </row>
    <row r="37" spans="1:41" ht="13.5" customHeight="1">
      <c r="A37" s="94"/>
      <c r="B37" s="154"/>
      <c r="C37" s="94"/>
      <c r="D37" s="94" t="s">
        <v>15</v>
      </c>
      <c r="E37" s="161"/>
      <c r="F37" s="161"/>
      <c r="G37" s="161"/>
      <c r="H37" s="161"/>
      <c r="I37" s="111"/>
      <c r="J37" s="111"/>
      <c r="K37" s="154"/>
      <c r="L37" s="94"/>
      <c r="M37" s="198"/>
      <c r="N37" s="94"/>
      <c r="O37" s="197"/>
      <c r="P37" s="197"/>
      <c r="Q37" s="172"/>
      <c r="R37" s="197"/>
      <c r="S37" s="197"/>
      <c r="T37" s="197"/>
      <c r="U37" s="479"/>
      <c r="V37" s="55"/>
      <c r="W37" s="94" t="s">
        <v>431</v>
      </c>
      <c r="X37" s="205">
        <f>E35/(E39*-1)</f>
        <v>1.7733272727272726</v>
      </c>
      <c r="Y37" s="211"/>
      <c r="Z37" s="205">
        <f>G35/(G39*-1)</f>
        <v>5.265416666666667</v>
      </c>
      <c r="AA37" s="26"/>
      <c r="AB37" s="278">
        <v>4.24</v>
      </c>
      <c r="AC37" s="55"/>
      <c r="AD37" s="218"/>
      <c r="AE37" s="55"/>
      <c r="AF37" s="55"/>
      <c r="AG37" s="55"/>
      <c r="AH37" s="55"/>
      <c r="AI37" s="55"/>
      <c r="AJ37" s="55"/>
      <c r="AK37" s="3"/>
      <c r="AL37" s="3"/>
      <c r="AM37" s="3"/>
      <c r="AN37" s="3"/>
      <c r="AO37" s="3"/>
    </row>
    <row r="38" spans="1:41" ht="13.5" customHeight="1">
      <c r="A38" s="94"/>
      <c r="B38" s="154"/>
      <c r="C38" s="94"/>
      <c r="D38" s="94" t="s">
        <v>16</v>
      </c>
      <c r="E38" s="161">
        <f>SUM(IncomeStatements!D38)</f>
        <v>5600</v>
      </c>
      <c r="F38" s="161"/>
      <c r="G38" s="161">
        <f>SUM(IncomeStatements!F38)</f>
        <v>5800</v>
      </c>
      <c r="H38" s="161"/>
      <c r="I38" s="161">
        <f>SUM(IncomeStatements!H38)</f>
        <v>4200</v>
      </c>
      <c r="J38" s="161"/>
      <c r="K38" s="154"/>
      <c r="L38" s="94"/>
      <c r="M38" s="213">
        <f aca="true" t="shared" si="8" ref="M38:M44">(E38-G38)</f>
        <v>-200</v>
      </c>
      <c r="N38" s="94"/>
      <c r="O38" s="197">
        <f aca="true" t="shared" si="9" ref="O38:O44">M38/G38</f>
        <v>-0.034482758620689655</v>
      </c>
      <c r="P38" s="197"/>
      <c r="Q38" s="371">
        <f aca="true" t="shared" si="10" ref="Q38:Q44">(G38-I38)</f>
        <v>1600</v>
      </c>
      <c r="R38" s="197"/>
      <c r="S38" s="197">
        <f aca="true" t="shared" si="11" ref="S38:S44">Q38/I38</f>
        <v>0.38095238095238093</v>
      </c>
      <c r="T38" s="197"/>
      <c r="U38" s="479"/>
      <c r="V38" s="58"/>
      <c r="W38" s="4"/>
      <c r="X38" s="26"/>
      <c r="Y38" s="26"/>
      <c r="Z38" s="26"/>
      <c r="AA38" s="26"/>
      <c r="AB38" s="4"/>
      <c r="AC38" s="4"/>
      <c r="AD38" s="12"/>
      <c r="AE38" s="55"/>
      <c r="AF38" s="55"/>
      <c r="AG38" s="55"/>
      <c r="AH38" s="55"/>
      <c r="AI38" s="55"/>
      <c r="AJ38" s="55"/>
      <c r="AK38" s="3"/>
      <c r="AL38" s="3"/>
      <c r="AM38" s="3"/>
      <c r="AN38" s="3"/>
      <c r="AO38" s="3"/>
    </row>
    <row r="39" spans="1:41" ht="13.5" customHeight="1">
      <c r="A39" s="94"/>
      <c r="B39" s="154"/>
      <c r="C39" s="94"/>
      <c r="D39" s="94" t="s">
        <v>17</v>
      </c>
      <c r="E39" s="161">
        <f>SUM(IncomeStatements!D39)</f>
        <v>-55000</v>
      </c>
      <c r="F39" s="161"/>
      <c r="G39" s="161">
        <f>SUM(IncomeStatements!F39)</f>
        <v>-60000</v>
      </c>
      <c r="H39" s="161"/>
      <c r="I39" s="161">
        <f>SUM(IncomeStatements!H39)</f>
        <v>-65000</v>
      </c>
      <c r="J39" s="161"/>
      <c r="K39" s="154"/>
      <c r="L39" s="94"/>
      <c r="M39" s="213">
        <f t="shared" si="8"/>
        <v>5000</v>
      </c>
      <c r="N39" s="94"/>
      <c r="O39" s="197">
        <f t="shared" si="9"/>
        <v>-0.08333333333333333</v>
      </c>
      <c r="P39" s="197"/>
      <c r="Q39" s="371">
        <f t="shared" si="10"/>
        <v>5000</v>
      </c>
      <c r="R39" s="197"/>
      <c r="S39" s="197">
        <f t="shared" si="11"/>
        <v>-0.07692307692307693</v>
      </c>
      <c r="T39" s="197"/>
      <c r="U39" s="479"/>
      <c r="V39" s="58"/>
      <c r="W39" s="4"/>
      <c r="X39" s="26"/>
      <c r="Y39" s="26"/>
      <c r="Z39" s="26"/>
      <c r="AA39" s="26"/>
      <c r="AB39" s="4"/>
      <c r="AC39" s="4"/>
      <c r="AD39" s="12"/>
      <c r="AE39" s="55"/>
      <c r="AF39" s="55"/>
      <c r="AG39" s="55"/>
      <c r="AH39" s="55"/>
      <c r="AI39" s="55"/>
      <c r="AJ39" s="55"/>
      <c r="AK39" s="3"/>
      <c r="AL39" s="3"/>
      <c r="AM39" s="3"/>
      <c r="AN39" s="3"/>
      <c r="AO39" s="3"/>
    </row>
    <row r="40" spans="1:41" ht="13.5" customHeight="1">
      <c r="A40" s="94"/>
      <c r="B40" s="154"/>
      <c r="C40" s="94"/>
      <c r="D40" s="94" t="s">
        <v>18</v>
      </c>
      <c r="E40" s="161">
        <f>SUM(IncomeStatements!D40)</f>
        <v>-49400</v>
      </c>
      <c r="F40" s="161"/>
      <c r="G40" s="161">
        <f>SUM(IncomeStatements!F40)</f>
        <v>-54200</v>
      </c>
      <c r="H40" s="161"/>
      <c r="I40" s="161">
        <f>SUM(IncomeStatements!H40)</f>
        <v>-60800</v>
      </c>
      <c r="J40" s="161"/>
      <c r="K40" s="154"/>
      <c r="L40" s="94"/>
      <c r="M40" s="473">
        <f t="shared" si="8"/>
        <v>4800</v>
      </c>
      <c r="N40" s="94"/>
      <c r="O40" s="467">
        <f t="shared" si="9"/>
        <v>-0.08856088560885608</v>
      </c>
      <c r="P40" s="197"/>
      <c r="Q40" s="474">
        <f t="shared" si="10"/>
        <v>6600</v>
      </c>
      <c r="R40" s="197"/>
      <c r="S40" s="467">
        <f t="shared" si="11"/>
        <v>-0.10855263157894737</v>
      </c>
      <c r="T40" s="464"/>
      <c r="U40" s="479"/>
      <c r="V40" s="58"/>
      <c r="W40" s="270"/>
      <c r="X40" s="270"/>
      <c r="Y40" s="270"/>
      <c r="Z40" s="270"/>
      <c r="AA40" s="270"/>
      <c r="AB40" s="270"/>
      <c r="AC40" s="4"/>
      <c r="AD40" s="12"/>
      <c r="AE40" s="55"/>
      <c r="AF40" s="55"/>
      <c r="AG40" s="55"/>
      <c r="AH40" s="55"/>
      <c r="AI40" s="55"/>
      <c r="AJ40" s="55"/>
      <c r="AK40" s="3"/>
      <c r="AL40" s="3"/>
      <c r="AM40" s="3"/>
      <c r="AN40" s="3"/>
      <c r="AO40" s="3"/>
    </row>
    <row r="41" spans="1:41" ht="13.5" customHeight="1">
      <c r="A41" s="94"/>
      <c r="B41" s="154"/>
      <c r="C41" s="94"/>
      <c r="D41" s="93" t="s">
        <v>19</v>
      </c>
      <c r="E41" s="161">
        <f>E35+E40</f>
        <v>48133</v>
      </c>
      <c r="F41" s="161"/>
      <c r="G41" s="161">
        <f>G35+G40</f>
        <v>261725</v>
      </c>
      <c r="H41" s="161"/>
      <c r="I41" s="161">
        <f>I35+I40</f>
        <v>63305</v>
      </c>
      <c r="J41" s="161"/>
      <c r="K41" s="154"/>
      <c r="L41" s="94"/>
      <c r="M41" s="213">
        <f t="shared" si="8"/>
        <v>-213592</v>
      </c>
      <c r="N41" s="94"/>
      <c r="O41" s="197">
        <f t="shared" si="9"/>
        <v>-0.8160932276244149</v>
      </c>
      <c r="P41" s="197"/>
      <c r="Q41" s="371">
        <f t="shared" si="10"/>
        <v>198420</v>
      </c>
      <c r="R41" s="197"/>
      <c r="S41" s="197">
        <f t="shared" si="11"/>
        <v>3.1343495774425403</v>
      </c>
      <c r="T41" s="197"/>
      <c r="U41" s="479"/>
      <c r="V41" s="58"/>
      <c r="W41" s="270"/>
      <c r="X41" s="270"/>
      <c r="Y41" s="270"/>
      <c r="Z41" s="270"/>
      <c r="AA41" s="270"/>
      <c r="AB41" s="270"/>
      <c r="AC41" s="4"/>
      <c r="AD41" s="12"/>
      <c r="AE41" s="55"/>
      <c r="AF41" s="55"/>
      <c r="AG41" s="55"/>
      <c r="AH41" s="55"/>
      <c r="AI41" s="55"/>
      <c r="AJ41" s="55"/>
      <c r="AK41" s="3"/>
      <c r="AL41" s="3"/>
      <c r="AM41" s="3"/>
      <c r="AN41" s="3"/>
      <c r="AO41" s="3"/>
    </row>
    <row r="42" spans="1:41" ht="13.5" customHeight="1">
      <c r="A42" s="94"/>
      <c r="B42" s="154"/>
      <c r="C42" s="94"/>
      <c r="D42" s="93"/>
      <c r="E42" s="161"/>
      <c r="F42" s="161"/>
      <c r="G42" s="161"/>
      <c r="H42" s="161"/>
      <c r="I42" s="111"/>
      <c r="J42" s="111"/>
      <c r="K42" s="154"/>
      <c r="L42" s="94"/>
      <c r="M42" s="213"/>
      <c r="N42" s="94"/>
      <c r="O42" s="197"/>
      <c r="P42" s="197"/>
      <c r="Q42" s="371"/>
      <c r="R42" s="197"/>
      <c r="S42" s="197"/>
      <c r="T42" s="197"/>
      <c r="U42" s="479"/>
      <c r="V42" s="58"/>
      <c r="W42" s="270"/>
      <c r="X42" s="270"/>
      <c r="Y42" s="270"/>
      <c r="Z42" s="270"/>
      <c r="AA42" s="270"/>
      <c r="AB42" s="270"/>
      <c r="AC42" s="4"/>
      <c r="AD42" s="12"/>
      <c r="AE42" s="55"/>
      <c r="AF42" s="55"/>
      <c r="AG42" s="55"/>
      <c r="AH42" s="55"/>
      <c r="AI42" s="55"/>
      <c r="AJ42" s="55"/>
      <c r="AK42" s="3"/>
      <c r="AL42" s="3"/>
      <c r="AM42" s="3"/>
      <c r="AN42" s="3"/>
      <c r="AO42" s="3"/>
    </row>
    <row r="43" spans="1:41" ht="13.5" customHeight="1">
      <c r="A43" s="94"/>
      <c r="B43" s="154"/>
      <c r="C43" s="94"/>
      <c r="D43" s="94" t="s">
        <v>20</v>
      </c>
      <c r="E43" s="161">
        <f>SUM(IncomeStatements!D43)</f>
        <v>12033.25</v>
      </c>
      <c r="F43" s="165"/>
      <c r="G43" s="165">
        <f>G41*0.25</f>
        <v>65431.25</v>
      </c>
      <c r="H43" s="165"/>
      <c r="I43" s="165">
        <f>I41*0.25</f>
        <v>15826.25</v>
      </c>
      <c r="J43" s="165"/>
      <c r="K43" s="154"/>
      <c r="L43" s="94"/>
      <c r="M43" s="473">
        <f t="shared" si="8"/>
        <v>-53398</v>
      </c>
      <c r="N43" s="94"/>
      <c r="O43" s="197">
        <f t="shared" si="9"/>
        <v>-0.8160932276244149</v>
      </c>
      <c r="P43" s="197"/>
      <c r="Q43" s="371">
        <f t="shared" si="10"/>
        <v>49605</v>
      </c>
      <c r="R43" s="197"/>
      <c r="S43" s="197">
        <f t="shared" si="11"/>
        <v>3.1343495774425403</v>
      </c>
      <c r="T43" s="197"/>
      <c r="U43" s="479"/>
      <c r="V43" s="58"/>
      <c r="W43" s="270"/>
      <c r="X43" s="270"/>
      <c r="Y43" s="270"/>
      <c r="Z43" s="270"/>
      <c r="AA43" s="270"/>
      <c r="AB43" s="270"/>
      <c r="AC43" s="4"/>
      <c r="AD43" s="12"/>
      <c r="AE43" s="55"/>
      <c r="AF43" s="55"/>
      <c r="AG43" s="55"/>
      <c r="AH43" s="55"/>
      <c r="AI43" s="55"/>
      <c r="AJ43" s="55"/>
      <c r="AK43" s="3"/>
      <c r="AL43" s="3"/>
      <c r="AM43" s="3"/>
      <c r="AN43" s="3"/>
      <c r="AO43" s="3"/>
    </row>
    <row r="44" spans="1:41" ht="13.5" customHeight="1" thickBot="1">
      <c r="A44" s="94"/>
      <c r="B44" s="154"/>
      <c r="C44" s="94"/>
      <c r="D44" s="93" t="s">
        <v>21</v>
      </c>
      <c r="E44" s="170">
        <f>E41-E43</f>
        <v>36099.75</v>
      </c>
      <c r="F44" s="165"/>
      <c r="G44" s="170">
        <f>G41-G43</f>
        <v>196293.75</v>
      </c>
      <c r="H44" s="165"/>
      <c r="I44" s="170">
        <f>I41-I43</f>
        <v>47478.75</v>
      </c>
      <c r="J44" s="165"/>
      <c r="K44" s="154"/>
      <c r="L44" s="94"/>
      <c r="M44" s="472">
        <f t="shared" si="8"/>
        <v>-160194</v>
      </c>
      <c r="N44" s="94"/>
      <c r="O44" s="466">
        <f t="shared" si="9"/>
        <v>-0.8160932276244149</v>
      </c>
      <c r="P44" s="197"/>
      <c r="Q44" s="475">
        <f t="shared" si="10"/>
        <v>148815</v>
      </c>
      <c r="R44" s="197"/>
      <c r="S44" s="466">
        <f t="shared" si="11"/>
        <v>3.1343495774425403</v>
      </c>
      <c r="T44" s="464"/>
      <c r="U44" s="479"/>
      <c r="V44" s="58"/>
      <c r="W44" s="270"/>
      <c r="X44" s="270"/>
      <c r="Y44" s="270"/>
      <c r="Z44" s="270"/>
      <c r="AA44" s="270"/>
      <c r="AB44" s="270"/>
      <c r="AC44" s="4"/>
      <c r="AD44" s="12"/>
      <c r="AE44" s="55"/>
      <c r="AF44" s="55"/>
      <c r="AG44" s="55"/>
      <c r="AH44" s="55"/>
      <c r="AI44" s="55"/>
      <c r="AJ44" s="55"/>
      <c r="AK44" s="3"/>
      <c r="AL44" s="3"/>
      <c r="AM44" s="3"/>
      <c r="AN44" s="3"/>
      <c r="AO44" s="3"/>
    </row>
    <row r="45" spans="1:41" ht="13.5" customHeight="1" thickTop="1">
      <c r="A45" s="94"/>
      <c r="B45" s="154"/>
      <c r="C45" s="55"/>
      <c r="D45" s="55"/>
      <c r="E45" s="55"/>
      <c r="F45" s="55"/>
      <c r="G45" s="55"/>
      <c r="H45" s="55"/>
      <c r="I45" s="55"/>
      <c r="J45" s="55"/>
      <c r="K45" s="218"/>
      <c r="L45" s="55"/>
      <c r="M45" s="55"/>
      <c r="N45" s="55"/>
      <c r="O45" s="55"/>
      <c r="P45" s="55"/>
      <c r="Q45" s="55"/>
      <c r="R45" s="55"/>
      <c r="S45" s="55"/>
      <c r="T45" s="55"/>
      <c r="U45" s="478"/>
      <c r="V45" s="58"/>
      <c r="W45" s="499"/>
      <c r="X45" s="500"/>
      <c r="Y45" s="500"/>
      <c r="Z45" s="500"/>
      <c r="AA45" s="500"/>
      <c r="AB45" s="500"/>
      <c r="AC45" s="55"/>
      <c r="AD45" s="218"/>
      <c r="AE45" s="55"/>
      <c r="AF45" s="55"/>
      <c r="AG45" s="55"/>
      <c r="AH45" s="55"/>
      <c r="AI45" s="55"/>
      <c r="AJ45" s="55"/>
      <c r="AK45" s="3"/>
      <c r="AL45" s="3"/>
      <c r="AM45" s="3"/>
      <c r="AN45" s="3"/>
      <c r="AO45" s="3"/>
    </row>
    <row r="46" spans="1:41" ht="13.5" customHeight="1">
      <c r="A46" s="94"/>
      <c r="B46" s="154"/>
      <c r="C46" s="55"/>
      <c r="D46" s="55"/>
      <c r="E46" s="55"/>
      <c r="F46" s="55"/>
      <c r="G46" s="55"/>
      <c r="H46" s="55"/>
      <c r="I46" s="55"/>
      <c r="J46" s="55"/>
      <c r="K46" s="218"/>
      <c r="L46" s="55"/>
      <c r="M46" s="55"/>
      <c r="N46" s="55"/>
      <c r="O46" s="55"/>
      <c r="P46" s="55"/>
      <c r="Q46" s="55"/>
      <c r="R46" s="55"/>
      <c r="S46" s="55"/>
      <c r="T46" s="55"/>
      <c r="U46" s="218"/>
      <c r="V46" s="55"/>
      <c r="W46" s="500"/>
      <c r="X46" s="500"/>
      <c r="Y46" s="500"/>
      <c r="Z46" s="500"/>
      <c r="AA46" s="500"/>
      <c r="AB46" s="500"/>
      <c r="AC46" s="55"/>
      <c r="AD46" s="218"/>
      <c r="AE46" s="55"/>
      <c r="AF46" s="55"/>
      <c r="AG46" s="55"/>
      <c r="AH46" s="55"/>
      <c r="AI46" s="55"/>
      <c r="AJ46" s="55"/>
      <c r="AK46" s="3"/>
      <c r="AL46" s="3"/>
      <c r="AM46" s="3"/>
      <c r="AN46" s="3"/>
      <c r="AO46" s="3"/>
    </row>
    <row r="47" spans="1:41" ht="13.5" customHeight="1">
      <c r="A47" s="94"/>
      <c r="B47" s="154"/>
      <c r="C47" s="491" t="s">
        <v>54</v>
      </c>
      <c r="D47" s="492"/>
      <c r="E47" s="492"/>
      <c r="F47" s="492"/>
      <c r="G47" s="492"/>
      <c r="H47" s="492"/>
      <c r="I47" s="492"/>
      <c r="J47" s="101"/>
      <c r="K47" s="156"/>
      <c r="L47" s="101"/>
      <c r="M47" s="390"/>
      <c r="N47" s="390"/>
      <c r="O47" s="390"/>
      <c r="P47" s="390"/>
      <c r="Q47" s="390"/>
      <c r="R47" s="390"/>
      <c r="S47" s="390"/>
      <c r="T47" s="390"/>
      <c r="U47" s="154"/>
      <c r="V47" s="55"/>
      <c r="W47" s="270"/>
      <c r="X47" s="270"/>
      <c r="Y47" s="270"/>
      <c r="Z47" s="270"/>
      <c r="AA47" s="270"/>
      <c r="AB47" s="270"/>
      <c r="AC47" s="55"/>
      <c r="AD47" s="218"/>
      <c r="AE47" s="55"/>
      <c r="AF47" s="55"/>
      <c r="AG47" s="55"/>
      <c r="AH47" s="55"/>
      <c r="AI47" s="55"/>
      <c r="AJ47" s="55"/>
      <c r="AK47" s="3"/>
      <c r="AL47" s="3"/>
      <c r="AM47" s="3"/>
      <c r="AN47" s="3"/>
      <c r="AO47" s="3"/>
    </row>
    <row r="48" spans="1:41" ht="13.5" customHeight="1">
      <c r="A48" s="94"/>
      <c r="B48" s="154"/>
      <c r="C48" s="491" t="s">
        <v>4</v>
      </c>
      <c r="D48" s="492"/>
      <c r="E48" s="492"/>
      <c r="F48" s="492"/>
      <c r="G48" s="492"/>
      <c r="H48" s="492"/>
      <c r="I48" s="492"/>
      <c r="J48" s="101"/>
      <c r="K48" s="156"/>
      <c r="L48" s="101"/>
      <c r="M48" s="390"/>
      <c r="N48" s="390"/>
      <c r="O48" s="390"/>
      <c r="P48" s="390"/>
      <c r="Q48" s="390"/>
      <c r="R48" s="390"/>
      <c r="S48" s="390"/>
      <c r="T48" s="390"/>
      <c r="U48" s="154"/>
      <c r="V48" s="55"/>
      <c r="W48" s="270"/>
      <c r="X48" s="270"/>
      <c r="Y48" s="270"/>
      <c r="Z48" s="270"/>
      <c r="AA48" s="270"/>
      <c r="AB48" s="270"/>
      <c r="AC48" s="55"/>
      <c r="AD48" s="218"/>
      <c r="AE48" s="55"/>
      <c r="AF48" s="55"/>
      <c r="AG48" s="55"/>
      <c r="AH48" s="55"/>
      <c r="AI48" s="55"/>
      <c r="AJ48" s="55"/>
      <c r="AK48" s="3"/>
      <c r="AL48" s="3"/>
      <c r="AM48" s="3"/>
      <c r="AN48" s="3"/>
      <c r="AO48" s="3"/>
    </row>
    <row r="49" spans="1:41" ht="13.5" customHeight="1">
      <c r="A49" s="94"/>
      <c r="B49" s="154"/>
      <c r="C49" s="493" t="s">
        <v>10</v>
      </c>
      <c r="D49" s="492"/>
      <c r="E49" s="492"/>
      <c r="F49" s="492"/>
      <c r="G49" s="492"/>
      <c r="H49" s="492"/>
      <c r="I49" s="492"/>
      <c r="J49" s="101"/>
      <c r="K49" s="156"/>
      <c r="L49" s="101"/>
      <c r="M49" s="101"/>
      <c r="N49" s="101"/>
      <c r="O49" s="101"/>
      <c r="P49" s="101"/>
      <c r="Q49" s="101"/>
      <c r="R49" s="101"/>
      <c r="S49" s="101"/>
      <c r="T49" s="390"/>
      <c r="U49" s="154"/>
      <c r="V49" s="55"/>
      <c r="W49" s="270"/>
      <c r="X49" s="270"/>
      <c r="Y49" s="270"/>
      <c r="Z49" s="270"/>
      <c r="AA49" s="270"/>
      <c r="AB49" s="270"/>
      <c r="AC49" s="55"/>
      <c r="AD49" s="218"/>
      <c r="AE49" s="55"/>
      <c r="AF49" s="55"/>
      <c r="AG49" s="55"/>
      <c r="AH49" s="55"/>
      <c r="AI49" s="55"/>
      <c r="AJ49" s="55"/>
      <c r="AK49" s="3"/>
      <c r="AL49" s="3"/>
      <c r="AM49" s="3"/>
      <c r="AN49" s="3"/>
      <c r="AO49" s="3"/>
    </row>
    <row r="50" spans="1:41" ht="13.5" customHeight="1">
      <c r="A50" s="94"/>
      <c r="B50" s="154"/>
      <c r="C50" s="94"/>
      <c r="D50" s="157"/>
      <c r="E50" s="489"/>
      <c r="F50" s="490"/>
      <c r="G50" s="489"/>
      <c r="H50" s="149"/>
      <c r="I50" s="149"/>
      <c r="J50" s="149"/>
      <c r="K50" s="158"/>
      <c r="L50" s="149"/>
      <c r="M50" s="149"/>
      <c r="N50" s="101"/>
      <c r="O50" s="101"/>
      <c r="P50" s="101"/>
      <c r="Q50" s="101"/>
      <c r="R50" s="101"/>
      <c r="S50" s="101"/>
      <c r="T50" s="390"/>
      <c r="U50" s="154"/>
      <c r="V50" s="55"/>
      <c r="W50" s="270"/>
      <c r="X50" s="270"/>
      <c r="Y50" s="270"/>
      <c r="Z50" s="270"/>
      <c r="AA50" s="270"/>
      <c r="AB50" s="270"/>
      <c r="AC50" s="55"/>
      <c r="AD50" s="218"/>
      <c r="AE50" s="55"/>
      <c r="AF50" s="55"/>
      <c r="AG50" s="55"/>
      <c r="AH50" s="55"/>
      <c r="AI50" s="55"/>
      <c r="AJ50" s="55"/>
      <c r="AK50" s="3"/>
      <c r="AL50" s="3"/>
      <c r="AM50" s="3"/>
      <c r="AN50" s="3"/>
      <c r="AO50" s="3"/>
    </row>
    <row r="51" spans="1:41" ht="13.5" customHeight="1">
      <c r="A51" s="94"/>
      <c r="B51" s="154"/>
      <c r="C51" s="94"/>
      <c r="D51" s="94"/>
      <c r="E51" s="189" t="s">
        <v>23</v>
      </c>
      <c r="F51" s="190"/>
      <c r="G51" s="189" t="s">
        <v>24</v>
      </c>
      <c r="H51" s="190"/>
      <c r="I51" s="189" t="s">
        <v>60</v>
      </c>
      <c r="J51" s="190"/>
      <c r="K51" s="222"/>
      <c r="L51" s="190"/>
      <c r="M51" s="491" t="s">
        <v>50</v>
      </c>
      <c r="N51" s="503"/>
      <c r="O51" s="503"/>
      <c r="P51" s="94"/>
      <c r="Q51" s="491" t="s">
        <v>50</v>
      </c>
      <c r="R51" s="503"/>
      <c r="S51" s="503"/>
      <c r="T51" s="389"/>
      <c r="U51" s="154"/>
      <c r="V51" s="55"/>
      <c r="W51" s="270"/>
      <c r="X51" s="270"/>
      <c r="Y51" s="270"/>
      <c r="Z51" s="270"/>
      <c r="AA51" s="270"/>
      <c r="AB51" s="270"/>
      <c r="AC51" s="55"/>
      <c r="AD51" s="218"/>
      <c r="AE51" s="55"/>
      <c r="AF51" s="55"/>
      <c r="AG51" s="55"/>
      <c r="AH51" s="55"/>
      <c r="AI51" s="55"/>
      <c r="AJ51" s="55"/>
      <c r="AK51" s="3"/>
      <c r="AL51" s="3"/>
      <c r="AM51" s="3"/>
      <c r="AN51" s="3"/>
      <c r="AO51" s="3"/>
    </row>
    <row r="52" spans="1:41" ht="13.5" customHeight="1">
      <c r="A52" s="94"/>
      <c r="B52" s="154"/>
      <c r="C52" s="94"/>
      <c r="D52" s="93" t="s">
        <v>25</v>
      </c>
      <c r="E52" s="93" t="s">
        <v>2</v>
      </c>
      <c r="F52" s="93"/>
      <c r="G52" s="94"/>
      <c r="H52" s="94"/>
      <c r="I52" s="94"/>
      <c r="J52" s="94"/>
      <c r="K52" s="154"/>
      <c r="L52" s="94"/>
      <c r="M52" s="501" t="s">
        <v>233</v>
      </c>
      <c r="N52" s="502"/>
      <c r="O52" s="502"/>
      <c r="P52" s="101"/>
      <c r="Q52" s="501" t="s">
        <v>234</v>
      </c>
      <c r="R52" s="502"/>
      <c r="S52" s="502"/>
      <c r="T52" s="476"/>
      <c r="U52" s="154"/>
      <c r="V52" s="55"/>
      <c r="W52" s="270"/>
      <c r="X52" s="270"/>
      <c r="Y52" s="270"/>
      <c r="Z52" s="270"/>
      <c r="AA52" s="270"/>
      <c r="AB52" s="270"/>
      <c r="AC52" s="55"/>
      <c r="AD52" s="218"/>
      <c r="AE52" s="55"/>
      <c r="AF52" s="55"/>
      <c r="AG52" s="55"/>
      <c r="AH52" s="55"/>
      <c r="AI52" s="55"/>
      <c r="AJ52" s="55"/>
      <c r="AK52" s="3"/>
      <c r="AL52" s="3"/>
      <c r="AM52" s="3"/>
      <c r="AN52" s="3"/>
      <c r="AO52" s="3"/>
    </row>
    <row r="53" spans="1:41" ht="13.5" customHeight="1">
      <c r="A53" s="94"/>
      <c r="B53" s="154"/>
      <c r="C53" s="94"/>
      <c r="D53" s="93" t="s">
        <v>0</v>
      </c>
      <c r="E53" s="94"/>
      <c r="F53" s="94"/>
      <c r="G53" s="94"/>
      <c r="H53" s="94"/>
      <c r="I53" s="94"/>
      <c r="J53" s="94"/>
      <c r="K53" s="154"/>
      <c r="L53" s="94"/>
      <c r="M53" s="104" t="s">
        <v>51</v>
      </c>
      <c r="N53" s="104"/>
      <c r="O53" s="104" t="s">
        <v>52</v>
      </c>
      <c r="P53" s="159"/>
      <c r="Q53" s="104" t="s">
        <v>51</v>
      </c>
      <c r="R53" s="104"/>
      <c r="S53" s="104" t="s">
        <v>52</v>
      </c>
      <c r="T53" s="391"/>
      <c r="U53" s="154"/>
      <c r="V53" s="55"/>
      <c r="W53" s="270"/>
      <c r="X53" s="270"/>
      <c r="Y53" s="270"/>
      <c r="Z53" s="270"/>
      <c r="AA53" s="270"/>
      <c r="AB53" s="270"/>
      <c r="AC53" s="55"/>
      <c r="AD53" s="218"/>
      <c r="AE53" s="55"/>
      <c r="AF53" s="55"/>
      <c r="AG53" s="55"/>
      <c r="AH53" s="55"/>
      <c r="AI53" s="55"/>
      <c r="AJ53" s="55"/>
      <c r="AK53" s="3"/>
      <c r="AL53" s="3"/>
      <c r="AM53" s="3"/>
      <c r="AN53" s="3"/>
      <c r="AO53" s="3"/>
    </row>
    <row r="54" spans="1:41" ht="13.5" customHeight="1">
      <c r="A54" s="94"/>
      <c r="B54" s="154"/>
      <c r="C54" s="94"/>
      <c r="D54" s="94" t="s">
        <v>27</v>
      </c>
      <c r="E54" s="161">
        <f>SUM(BalanceSheets!E11)</f>
        <v>445023.5</v>
      </c>
      <c r="F54" s="111"/>
      <c r="G54" s="161">
        <f>SUM(BalanceSheets!G11)</f>
        <v>118548.75</v>
      </c>
      <c r="H54" s="111"/>
      <c r="I54" s="161">
        <f>SUM(BalanceSheets!I11)</f>
        <v>261000</v>
      </c>
      <c r="J54" s="161"/>
      <c r="K54" s="223"/>
      <c r="L54" s="111"/>
      <c r="M54" s="213">
        <f>(E54-G54)</f>
        <v>326474.75</v>
      </c>
      <c r="N54" s="198"/>
      <c r="O54" s="197">
        <f>M54/G54</f>
        <v>2.7539282362741067</v>
      </c>
      <c r="P54" s="198"/>
      <c r="Q54" s="213">
        <f aca="true" t="shared" si="12" ref="Q54:Q89">(G54-I54)</f>
        <v>-142451.25</v>
      </c>
      <c r="R54" s="198"/>
      <c r="S54" s="197">
        <f aca="true" t="shared" si="13" ref="S54:S89">Q54/I54</f>
        <v>-0.5457902298850574</v>
      </c>
      <c r="T54" s="197"/>
      <c r="U54" s="154"/>
      <c r="V54" s="55"/>
      <c r="W54" s="270"/>
      <c r="X54" s="270"/>
      <c r="Y54" s="270"/>
      <c r="Z54" s="270"/>
      <c r="AA54" s="270"/>
      <c r="AB54" s="270"/>
      <c r="AC54" s="55"/>
      <c r="AD54" s="218"/>
      <c r="AE54" s="55"/>
      <c r="AF54" s="55"/>
      <c r="AG54" s="55"/>
      <c r="AH54" s="55"/>
      <c r="AI54" s="55"/>
      <c r="AJ54" s="55"/>
      <c r="AK54" s="3"/>
      <c r="AL54" s="3"/>
      <c r="AM54" s="3"/>
      <c r="AN54" s="3"/>
      <c r="AO54" s="3"/>
    </row>
    <row r="55" spans="1:41" ht="13.5" customHeight="1">
      <c r="A55" s="94"/>
      <c r="B55" s="154"/>
      <c r="C55" s="94"/>
      <c r="D55" s="94" t="s">
        <v>49</v>
      </c>
      <c r="E55" s="161">
        <f>SUM(BalanceSheets!E12)</f>
        <v>220000</v>
      </c>
      <c r="F55" s="111"/>
      <c r="G55" s="161">
        <f>SUM(BalanceSheets!G12)</f>
        <v>220000</v>
      </c>
      <c r="H55" s="111"/>
      <c r="I55" s="161">
        <f>SUM(BalanceSheets!I12)</f>
        <v>198500</v>
      </c>
      <c r="J55" s="161"/>
      <c r="K55" s="223"/>
      <c r="L55" s="111"/>
      <c r="M55" s="213">
        <f aca="true" t="shared" si="14" ref="M55:M89">(E55-G55)</f>
        <v>0</v>
      </c>
      <c r="N55" s="198"/>
      <c r="O55" s="197">
        <f aca="true" t="shared" si="15" ref="O55:O89">M55/G55</f>
        <v>0</v>
      </c>
      <c r="P55" s="198"/>
      <c r="Q55" s="213">
        <f t="shared" si="12"/>
        <v>21500</v>
      </c>
      <c r="R55" s="198"/>
      <c r="S55" s="197">
        <f t="shared" si="13"/>
        <v>0.10831234256926953</v>
      </c>
      <c r="T55" s="197"/>
      <c r="U55" s="154"/>
      <c r="V55" s="55"/>
      <c r="W55" s="270"/>
      <c r="X55" s="270"/>
      <c r="Y55" s="270"/>
      <c r="Z55" s="270"/>
      <c r="AA55" s="270"/>
      <c r="AB55" s="270"/>
      <c r="AC55" s="55"/>
      <c r="AD55" s="218"/>
      <c r="AE55" s="55"/>
      <c r="AF55" s="55"/>
      <c r="AG55" s="55"/>
      <c r="AH55" s="55"/>
      <c r="AI55" s="55"/>
      <c r="AJ55" s="55"/>
      <c r="AK55" s="3"/>
      <c r="AL55" s="3"/>
      <c r="AM55" s="3"/>
      <c r="AN55" s="3"/>
      <c r="AO55" s="3"/>
    </row>
    <row r="56" spans="1:41" ht="13.5" customHeight="1">
      <c r="A56" s="94"/>
      <c r="B56" s="154"/>
      <c r="C56" s="94"/>
      <c r="D56" s="94" t="s">
        <v>28</v>
      </c>
      <c r="E56" s="161">
        <f>SUM(BalanceSheets!E13)</f>
        <v>609960</v>
      </c>
      <c r="F56" s="111"/>
      <c r="G56" s="161">
        <f>SUM(BalanceSheets!G13)</f>
        <v>717600</v>
      </c>
      <c r="H56" s="111"/>
      <c r="I56" s="161">
        <f>SUM(BalanceSheets!I13)</f>
        <v>271503</v>
      </c>
      <c r="J56" s="161"/>
      <c r="K56" s="223"/>
      <c r="L56" s="111"/>
      <c r="M56" s="213">
        <f t="shared" si="14"/>
        <v>-107640</v>
      </c>
      <c r="N56" s="198"/>
      <c r="O56" s="197">
        <f t="shared" si="15"/>
        <v>-0.15</v>
      </c>
      <c r="P56" s="198"/>
      <c r="Q56" s="213">
        <f t="shared" si="12"/>
        <v>446097</v>
      </c>
      <c r="R56" s="198"/>
      <c r="S56" s="197">
        <f t="shared" si="13"/>
        <v>1.6430647175169335</v>
      </c>
      <c r="T56" s="197"/>
      <c r="U56" s="154"/>
      <c r="V56" s="55"/>
      <c r="W56" s="270"/>
      <c r="X56" s="270"/>
      <c r="Y56" s="270"/>
      <c r="Z56" s="270"/>
      <c r="AA56" s="270"/>
      <c r="AB56" s="270"/>
      <c r="AC56" s="55"/>
      <c r="AD56" s="218"/>
      <c r="AE56" s="55"/>
      <c r="AF56" s="55"/>
      <c r="AG56" s="55"/>
      <c r="AH56" s="55"/>
      <c r="AI56" s="55"/>
      <c r="AJ56" s="55"/>
      <c r="AK56" s="3"/>
      <c r="AL56" s="3"/>
      <c r="AM56" s="3"/>
      <c r="AN56" s="3"/>
      <c r="AO56" s="3"/>
    </row>
    <row r="57" spans="1:41" ht="13.5" customHeight="1">
      <c r="A57" s="94"/>
      <c r="B57" s="154"/>
      <c r="C57" s="94"/>
      <c r="D57" s="94" t="s">
        <v>56</v>
      </c>
      <c r="E57" s="161">
        <f>SUM(BalanceSheets!E14)</f>
        <v>91573</v>
      </c>
      <c r="F57" s="111"/>
      <c r="G57" s="161">
        <f>SUM(BalanceSheets!G14)</f>
        <v>88808</v>
      </c>
      <c r="H57" s="111"/>
      <c r="I57" s="161">
        <f>SUM(BalanceSheets!I14)</f>
        <v>104480</v>
      </c>
      <c r="J57" s="161"/>
      <c r="K57" s="223"/>
      <c r="L57" s="111"/>
      <c r="M57" s="213">
        <f t="shared" si="14"/>
        <v>2765</v>
      </c>
      <c r="N57" s="198"/>
      <c r="O57" s="197">
        <f t="shared" si="15"/>
        <v>0.031134582470047745</v>
      </c>
      <c r="P57" s="198"/>
      <c r="Q57" s="213">
        <f t="shared" si="12"/>
        <v>-15672</v>
      </c>
      <c r="R57" s="198"/>
      <c r="S57" s="197">
        <f t="shared" si="13"/>
        <v>-0.15</v>
      </c>
      <c r="T57" s="197"/>
      <c r="U57" s="154"/>
      <c r="V57" s="55"/>
      <c r="W57" s="270"/>
      <c r="X57" s="270"/>
      <c r="Y57" s="270"/>
      <c r="Z57" s="270"/>
      <c r="AA57" s="270"/>
      <c r="AB57" s="270"/>
      <c r="AC57" s="55"/>
      <c r="AD57" s="218"/>
      <c r="AE57" s="55"/>
      <c r="AF57" s="55"/>
      <c r="AG57" s="55"/>
      <c r="AH57" s="55"/>
      <c r="AI57" s="55"/>
      <c r="AJ57" s="55"/>
      <c r="AK57" s="3"/>
      <c r="AL57" s="3"/>
      <c r="AM57" s="3"/>
      <c r="AN57" s="3"/>
      <c r="AO57" s="3"/>
    </row>
    <row r="58" spans="1:41" ht="15">
      <c r="A58" s="94"/>
      <c r="B58" s="154"/>
      <c r="C58" s="94"/>
      <c r="D58" s="94" t="s">
        <v>57</v>
      </c>
      <c r="E58" s="161">
        <f>SUM(BalanceSheets!E15)</f>
        <v>130260</v>
      </c>
      <c r="F58" s="111"/>
      <c r="G58" s="161">
        <f>SUM(BalanceSheets!G15)</f>
        <v>130260</v>
      </c>
      <c r="H58" s="111"/>
      <c r="I58" s="161">
        <f>SUM(BalanceSheets!I15)</f>
        <v>98820</v>
      </c>
      <c r="J58" s="161"/>
      <c r="K58" s="223"/>
      <c r="L58" s="111"/>
      <c r="M58" s="213">
        <f t="shared" si="14"/>
        <v>0</v>
      </c>
      <c r="N58" s="198"/>
      <c r="O58" s="197">
        <f t="shared" si="15"/>
        <v>0</v>
      </c>
      <c r="P58" s="198"/>
      <c r="Q58" s="213">
        <f t="shared" si="12"/>
        <v>31440</v>
      </c>
      <c r="R58" s="198"/>
      <c r="S58" s="197">
        <f t="shared" si="13"/>
        <v>0.31815421979356406</v>
      </c>
      <c r="T58" s="197"/>
      <c r="U58" s="154"/>
      <c r="V58" s="55"/>
      <c r="W58" s="270"/>
      <c r="X58" s="270"/>
      <c r="Y58" s="270"/>
      <c r="Z58" s="270"/>
      <c r="AA58" s="270"/>
      <c r="AB58" s="270"/>
      <c r="AC58" s="55"/>
      <c r="AD58" s="218"/>
      <c r="AE58" s="55"/>
      <c r="AF58" s="55"/>
      <c r="AG58" s="55"/>
      <c r="AH58" s="55"/>
      <c r="AI58" s="55"/>
      <c r="AJ58" s="55"/>
      <c r="AK58" s="3"/>
      <c r="AL58" s="3"/>
      <c r="AM58" s="3"/>
      <c r="AN58" s="3"/>
      <c r="AO58" s="3"/>
    </row>
    <row r="59" spans="1:41" ht="15">
      <c r="A59" s="94"/>
      <c r="B59" s="154"/>
      <c r="C59" s="94"/>
      <c r="D59" s="94" t="s">
        <v>58</v>
      </c>
      <c r="E59" s="161">
        <f>SUM(BalanceSheets!E16)</f>
        <v>0</v>
      </c>
      <c r="F59" s="111"/>
      <c r="G59" s="161">
        <f>SUM(BalanceSheets!G16)</f>
        <v>0</v>
      </c>
      <c r="H59" s="111"/>
      <c r="I59" s="161">
        <f>SUM(BalanceSheets!I16)</f>
        <v>0</v>
      </c>
      <c r="J59" s="161"/>
      <c r="K59" s="223"/>
      <c r="L59" s="111"/>
      <c r="M59" s="213">
        <f t="shared" si="14"/>
        <v>0</v>
      </c>
      <c r="N59" s="198"/>
      <c r="O59" s="470" t="s">
        <v>334</v>
      </c>
      <c r="P59" s="227"/>
      <c r="Q59" s="213">
        <f t="shared" si="12"/>
        <v>0</v>
      </c>
      <c r="R59" s="198"/>
      <c r="S59" s="470" t="s">
        <v>334</v>
      </c>
      <c r="T59" s="470"/>
      <c r="U59" s="154"/>
      <c r="V59" s="55"/>
      <c r="W59" s="270"/>
      <c r="X59" s="270"/>
      <c r="Y59" s="270"/>
      <c r="Z59" s="270"/>
      <c r="AA59" s="270"/>
      <c r="AB59" s="270"/>
      <c r="AC59" s="55"/>
      <c r="AD59" s="218"/>
      <c r="AE59" s="55"/>
      <c r="AF59" s="55"/>
      <c r="AG59" s="55"/>
      <c r="AH59" s="55"/>
      <c r="AI59" s="55"/>
      <c r="AJ59" s="55"/>
      <c r="AK59" s="3"/>
      <c r="AL59" s="3"/>
      <c r="AM59" s="3"/>
      <c r="AN59" s="3"/>
      <c r="AO59" s="3"/>
    </row>
    <row r="60" spans="1:41" ht="15">
      <c r="A60" s="94"/>
      <c r="B60" s="154"/>
      <c r="C60" s="94"/>
      <c r="D60" s="94" t="s">
        <v>29</v>
      </c>
      <c r="E60" s="167">
        <f>SUM(BalanceSheets!E17)</f>
        <v>110000</v>
      </c>
      <c r="F60" s="153"/>
      <c r="G60" s="167">
        <f>SUM(BalanceSheets!G17)</f>
        <v>104000</v>
      </c>
      <c r="H60" s="191"/>
      <c r="I60" s="167">
        <f>SUM(BalanceSheets!I17)</f>
        <v>95000</v>
      </c>
      <c r="J60" s="161"/>
      <c r="K60" s="155"/>
      <c r="L60" s="153"/>
      <c r="M60" s="213">
        <f t="shared" si="14"/>
        <v>6000</v>
      </c>
      <c r="N60" s="198"/>
      <c r="O60" s="197">
        <f t="shared" si="15"/>
        <v>0.057692307692307696</v>
      </c>
      <c r="P60" s="198"/>
      <c r="Q60" s="213">
        <f t="shared" si="12"/>
        <v>9000</v>
      </c>
      <c r="R60" s="198"/>
      <c r="S60" s="197">
        <f t="shared" si="13"/>
        <v>0.09473684210526316</v>
      </c>
      <c r="T60" s="197"/>
      <c r="U60" s="154"/>
      <c r="V60" s="55"/>
      <c r="W60" s="270"/>
      <c r="X60" s="270"/>
      <c r="Y60" s="270"/>
      <c r="Z60" s="270"/>
      <c r="AA60" s="270"/>
      <c r="AB60" s="270"/>
      <c r="AC60" s="55"/>
      <c r="AD60" s="218"/>
      <c r="AE60" s="55"/>
      <c r="AF60" s="55"/>
      <c r="AG60" s="55"/>
      <c r="AH60" s="55"/>
      <c r="AI60" s="55"/>
      <c r="AJ60" s="55"/>
      <c r="AK60" s="3"/>
      <c r="AL60" s="3"/>
      <c r="AM60" s="3"/>
      <c r="AN60" s="3"/>
      <c r="AO60" s="3"/>
    </row>
    <row r="61" spans="1:41" ht="15">
      <c r="A61" s="94"/>
      <c r="B61" s="154"/>
      <c r="C61" s="94"/>
      <c r="D61" s="94" t="s">
        <v>30</v>
      </c>
      <c r="E61" s="143">
        <f>SUM(E54:E60)</f>
        <v>1606816.5</v>
      </c>
      <c r="F61" s="143"/>
      <c r="G61" s="143">
        <f>SUM(G54:G60)</f>
        <v>1379216.75</v>
      </c>
      <c r="H61" s="143"/>
      <c r="I61" s="143">
        <f>SUM(I54:I60)</f>
        <v>1029303</v>
      </c>
      <c r="J61" s="191"/>
      <c r="K61" s="224"/>
      <c r="L61" s="191"/>
      <c r="M61" s="213">
        <f t="shared" si="14"/>
        <v>227599.75</v>
      </c>
      <c r="N61" s="198"/>
      <c r="O61" s="197">
        <f t="shared" si="15"/>
        <v>0.16502101645734799</v>
      </c>
      <c r="P61" s="198"/>
      <c r="Q61" s="213">
        <f t="shared" si="12"/>
        <v>349913.75</v>
      </c>
      <c r="R61" s="198"/>
      <c r="S61" s="197">
        <f t="shared" si="13"/>
        <v>0.339952132656759</v>
      </c>
      <c r="T61" s="197"/>
      <c r="U61" s="154"/>
      <c r="V61" s="55"/>
      <c r="W61" s="270"/>
      <c r="X61" s="270"/>
      <c r="Y61" s="270"/>
      <c r="Z61" s="270"/>
      <c r="AA61" s="270"/>
      <c r="AB61" s="270"/>
      <c r="AC61" s="55"/>
      <c r="AD61" s="218"/>
      <c r="AE61" s="55"/>
      <c r="AF61" s="55"/>
      <c r="AG61" s="55"/>
      <c r="AH61" s="55"/>
      <c r="AI61" s="55"/>
      <c r="AJ61" s="55"/>
      <c r="AK61" s="3"/>
      <c r="AL61" s="3"/>
      <c r="AM61" s="3"/>
      <c r="AN61" s="3"/>
      <c r="AO61" s="3"/>
    </row>
    <row r="62" spans="1:41" ht="15">
      <c r="A62" s="94"/>
      <c r="B62" s="154"/>
      <c r="C62" s="94"/>
      <c r="D62" s="93" t="s">
        <v>26</v>
      </c>
      <c r="E62" s="94"/>
      <c r="F62" s="94"/>
      <c r="G62" s="111"/>
      <c r="H62" s="111"/>
      <c r="I62" s="111"/>
      <c r="J62" s="111"/>
      <c r="K62" s="154"/>
      <c r="L62" s="94"/>
      <c r="M62" s="198"/>
      <c r="N62" s="198"/>
      <c r="O62" s="197"/>
      <c r="P62" s="198"/>
      <c r="Q62" s="198"/>
      <c r="R62" s="198"/>
      <c r="S62" s="197"/>
      <c r="T62" s="197"/>
      <c r="U62" s="154"/>
      <c r="V62" s="55"/>
      <c r="W62" s="270"/>
      <c r="X62" s="270"/>
      <c r="Y62" s="270"/>
      <c r="Z62" s="270"/>
      <c r="AA62" s="270"/>
      <c r="AB62" s="270"/>
      <c r="AC62" s="55"/>
      <c r="AD62" s="218"/>
      <c r="AE62" s="55"/>
      <c r="AF62" s="55"/>
      <c r="AG62" s="55"/>
      <c r="AH62" s="55"/>
      <c r="AI62" s="55"/>
      <c r="AJ62" s="55"/>
      <c r="AK62" s="3"/>
      <c r="AL62" s="3"/>
      <c r="AM62" s="3"/>
      <c r="AN62" s="3"/>
      <c r="AO62" s="3"/>
    </row>
    <row r="63" spans="1:41" ht="15">
      <c r="A63" s="94"/>
      <c r="B63" s="154"/>
      <c r="C63" s="94"/>
      <c r="D63" s="94" t="s">
        <v>31</v>
      </c>
      <c r="E63" s="161">
        <f>SUM(BalanceSheets!E20)</f>
        <v>100000</v>
      </c>
      <c r="F63" s="111"/>
      <c r="G63" s="161">
        <f>SUM(BalanceSheets!G20)</f>
        <v>100000</v>
      </c>
      <c r="H63" s="111"/>
      <c r="I63" s="161">
        <f>SUM(BalanceSheets!I20)</f>
        <v>100000</v>
      </c>
      <c r="J63" s="161"/>
      <c r="K63" s="223"/>
      <c r="L63" s="111"/>
      <c r="M63" s="213">
        <f t="shared" si="14"/>
        <v>0</v>
      </c>
      <c r="N63" s="198"/>
      <c r="O63" s="197">
        <f t="shared" si="15"/>
        <v>0</v>
      </c>
      <c r="P63" s="198"/>
      <c r="Q63" s="213">
        <f t="shared" si="12"/>
        <v>0</v>
      </c>
      <c r="R63" s="198"/>
      <c r="S63" s="197">
        <f t="shared" si="13"/>
        <v>0</v>
      </c>
      <c r="T63" s="197"/>
      <c r="U63" s="154"/>
      <c r="V63" s="55"/>
      <c r="W63" s="270"/>
      <c r="X63" s="270"/>
      <c r="Y63" s="270"/>
      <c r="Z63" s="270"/>
      <c r="AA63" s="270"/>
      <c r="AB63" s="270"/>
      <c r="AC63" s="55"/>
      <c r="AD63" s="218"/>
      <c r="AE63" s="55"/>
      <c r="AF63" s="55"/>
      <c r="AG63" s="55"/>
      <c r="AH63" s="55"/>
      <c r="AI63" s="55"/>
      <c r="AJ63" s="55"/>
      <c r="AK63" s="3"/>
      <c r="AL63" s="3"/>
      <c r="AM63" s="3"/>
      <c r="AN63" s="3"/>
      <c r="AO63" s="3"/>
    </row>
    <row r="64" spans="1:41" ht="15">
      <c r="A64" s="94"/>
      <c r="B64" s="154"/>
      <c r="C64" s="94"/>
      <c r="D64" s="94" t="s">
        <v>59</v>
      </c>
      <c r="E64" s="161">
        <f>SUM(BalanceSheets!E21)</f>
        <v>2000000</v>
      </c>
      <c r="F64" s="111"/>
      <c r="G64" s="161">
        <f>SUM(BalanceSheets!G21)</f>
        <v>2000000</v>
      </c>
      <c r="H64" s="111"/>
      <c r="I64" s="161">
        <f>SUM(BalanceSheets!I21)</f>
        <v>2000000</v>
      </c>
      <c r="J64" s="161"/>
      <c r="K64" s="223"/>
      <c r="L64" s="111"/>
      <c r="M64" s="213">
        <f t="shared" si="14"/>
        <v>0</v>
      </c>
      <c r="N64" s="198"/>
      <c r="O64" s="197">
        <f t="shared" si="15"/>
        <v>0</v>
      </c>
      <c r="P64" s="198"/>
      <c r="Q64" s="213">
        <f t="shared" si="12"/>
        <v>0</v>
      </c>
      <c r="R64" s="198"/>
      <c r="S64" s="197">
        <f t="shared" si="13"/>
        <v>0</v>
      </c>
      <c r="T64" s="197"/>
      <c r="U64" s="154"/>
      <c r="V64" s="55"/>
      <c r="W64" s="270"/>
      <c r="X64" s="270"/>
      <c r="Y64" s="270"/>
      <c r="Z64" s="270"/>
      <c r="AA64" s="270"/>
      <c r="AB64" s="270"/>
      <c r="AC64" s="55"/>
      <c r="AD64" s="218"/>
      <c r="AE64" s="55"/>
      <c r="AF64" s="55"/>
      <c r="AG64" s="55"/>
      <c r="AH64" s="55"/>
      <c r="AI64" s="55"/>
      <c r="AJ64" s="55"/>
      <c r="AK64" s="3"/>
      <c r="AL64" s="3"/>
      <c r="AM64" s="3"/>
      <c r="AN64" s="3"/>
      <c r="AO64" s="3"/>
    </row>
    <row r="65" spans="1:41" ht="15">
      <c r="A65" s="94"/>
      <c r="B65" s="154"/>
      <c r="C65" s="94"/>
      <c r="D65" s="94" t="s">
        <v>32</v>
      </c>
      <c r="E65" s="161">
        <f>SUM(BalanceSheets!E23)</f>
        <v>500000</v>
      </c>
      <c r="F65" s="191"/>
      <c r="G65" s="161">
        <f>SUM(BalanceSheets!G23)</f>
        <v>500000</v>
      </c>
      <c r="H65" s="191"/>
      <c r="I65" s="161">
        <f>SUM(BalanceSheets!I23)</f>
        <v>500000</v>
      </c>
      <c r="J65" s="161"/>
      <c r="K65" s="224"/>
      <c r="L65" s="191"/>
      <c r="M65" s="213">
        <f t="shared" si="14"/>
        <v>0</v>
      </c>
      <c r="N65" s="198"/>
      <c r="O65" s="197">
        <f t="shared" si="15"/>
        <v>0</v>
      </c>
      <c r="P65" s="198"/>
      <c r="Q65" s="213">
        <f t="shared" si="12"/>
        <v>0</v>
      </c>
      <c r="R65" s="198"/>
      <c r="S65" s="197">
        <f t="shared" si="13"/>
        <v>0</v>
      </c>
      <c r="T65" s="197"/>
      <c r="U65" s="154"/>
      <c r="V65" s="55"/>
      <c r="W65" s="270"/>
      <c r="X65" s="270"/>
      <c r="Y65" s="270"/>
      <c r="Z65" s="270"/>
      <c r="AA65" s="270"/>
      <c r="AB65" s="270"/>
      <c r="AC65" s="55"/>
      <c r="AD65" s="218"/>
      <c r="AE65" s="55"/>
      <c r="AF65" s="55"/>
      <c r="AG65" s="55"/>
      <c r="AH65" s="55"/>
      <c r="AI65" s="55"/>
      <c r="AJ65" s="55"/>
      <c r="AK65" s="3"/>
      <c r="AL65" s="3"/>
      <c r="AM65" s="3"/>
      <c r="AN65" s="3"/>
      <c r="AO65" s="3"/>
    </row>
    <row r="66" spans="1:41" ht="15">
      <c r="A66" s="94"/>
      <c r="B66" s="154"/>
      <c r="C66" s="94"/>
      <c r="D66" s="94"/>
      <c r="E66" s="111">
        <f>SUM(E63:E65)</f>
        <v>2600000</v>
      </c>
      <c r="F66" s="111"/>
      <c r="G66" s="111">
        <f>SUM(G63:G65)</f>
        <v>2600000</v>
      </c>
      <c r="H66" s="111"/>
      <c r="I66" s="111">
        <f>SUM(I63:I65)</f>
        <v>2600000</v>
      </c>
      <c r="J66" s="111"/>
      <c r="K66" s="223"/>
      <c r="L66" s="111"/>
      <c r="M66" s="213">
        <f t="shared" si="14"/>
        <v>0</v>
      </c>
      <c r="N66" s="198"/>
      <c r="O66" s="197">
        <f t="shared" si="15"/>
        <v>0</v>
      </c>
      <c r="P66" s="198"/>
      <c r="Q66" s="213">
        <f t="shared" si="12"/>
        <v>0</v>
      </c>
      <c r="R66" s="198"/>
      <c r="S66" s="197">
        <f t="shared" si="13"/>
        <v>0</v>
      </c>
      <c r="T66" s="197"/>
      <c r="U66" s="154"/>
      <c r="V66" s="55"/>
      <c r="W66" s="270"/>
      <c r="X66" s="270"/>
      <c r="Y66" s="270"/>
      <c r="Z66" s="270"/>
      <c r="AA66" s="270"/>
      <c r="AB66" s="270"/>
      <c r="AC66" s="55"/>
      <c r="AD66" s="218"/>
      <c r="AE66" s="55"/>
      <c r="AF66" s="55"/>
      <c r="AG66" s="55"/>
      <c r="AH66" s="55"/>
      <c r="AI66" s="55"/>
      <c r="AJ66" s="55"/>
      <c r="AK66" s="3"/>
      <c r="AL66" s="3"/>
      <c r="AM66" s="3"/>
      <c r="AN66" s="3"/>
      <c r="AO66" s="3"/>
    </row>
    <row r="67" spans="1:41" ht="15">
      <c r="A67" s="94"/>
      <c r="B67" s="154"/>
      <c r="C67" s="94"/>
      <c r="D67" s="94" t="s">
        <v>33</v>
      </c>
      <c r="E67" s="165">
        <f>SUM(BalanceSheets!E25)</f>
        <v>-690000</v>
      </c>
      <c r="F67" s="111"/>
      <c r="G67" s="161">
        <f>SUM(BalanceSheets!G25)</f>
        <v>-460000</v>
      </c>
      <c r="H67" s="111"/>
      <c r="I67" s="161">
        <f>SUM(BalanceSheets!I25)</f>
        <v>-230000</v>
      </c>
      <c r="J67" s="161"/>
      <c r="K67" s="223"/>
      <c r="L67" s="111"/>
      <c r="M67" s="213">
        <f t="shared" si="14"/>
        <v>-230000</v>
      </c>
      <c r="N67" s="198"/>
      <c r="O67" s="197">
        <f t="shared" si="15"/>
        <v>0.5</v>
      </c>
      <c r="P67" s="198"/>
      <c r="Q67" s="213">
        <f t="shared" si="12"/>
        <v>-230000</v>
      </c>
      <c r="R67" s="198"/>
      <c r="S67" s="197">
        <f t="shared" si="13"/>
        <v>1</v>
      </c>
      <c r="T67" s="197"/>
      <c r="U67" s="154"/>
      <c r="V67" s="55"/>
      <c r="W67" s="270"/>
      <c r="X67" s="270"/>
      <c r="Y67" s="270"/>
      <c r="Z67" s="270"/>
      <c r="AA67" s="270"/>
      <c r="AB67" s="270"/>
      <c r="AC67" s="55"/>
      <c r="AD67" s="218"/>
      <c r="AE67" s="55"/>
      <c r="AF67" s="55"/>
      <c r="AG67" s="55"/>
      <c r="AH67" s="55"/>
      <c r="AI67" s="55"/>
      <c r="AJ67" s="55"/>
      <c r="AK67" s="3"/>
      <c r="AL67" s="3"/>
      <c r="AM67" s="3"/>
      <c r="AN67" s="3"/>
      <c r="AO67" s="3"/>
    </row>
    <row r="68" spans="1:41" ht="15">
      <c r="A68" s="94"/>
      <c r="B68" s="154"/>
      <c r="C68" s="94"/>
      <c r="D68" s="94" t="s">
        <v>34</v>
      </c>
      <c r="E68" s="161">
        <f>SUM(BalanceSheets!E26)</f>
        <v>2710000</v>
      </c>
      <c r="F68" s="191"/>
      <c r="G68" s="161">
        <f>SUM(BalanceSheets!G26)</f>
        <v>2940000</v>
      </c>
      <c r="H68" s="191"/>
      <c r="I68" s="161">
        <f>SUM(BalanceSheets!I26)</f>
        <v>3170000</v>
      </c>
      <c r="J68" s="161"/>
      <c r="K68" s="224"/>
      <c r="L68" s="191"/>
      <c r="M68" s="213">
        <f t="shared" si="14"/>
        <v>-230000</v>
      </c>
      <c r="N68" s="198"/>
      <c r="O68" s="197">
        <f t="shared" si="15"/>
        <v>-0.0782312925170068</v>
      </c>
      <c r="P68" s="198"/>
      <c r="Q68" s="213">
        <f t="shared" si="12"/>
        <v>-230000</v>
      </c>
      <c r="R68" s="198"/>
      <c r="S68" s="197">
        <f t="shared" si="13"/>
        <v>-0.07255520504731862</v>
      </c>
      <c r="T68" s="197"/>
      <c r="U68" s="154"/>
      <c r="V68" s="55"/>
      <c r="W68" s="270"/>
      <c r="X68" s="270"/>
      <c r="Y68" s="270"/>
      <c r="Z68" s="270"/>
      <c r="AA68" s="270"/>
      <c r="AB68" s="270"/>
      <c r="AC68" s="55"/>
      <c r="AD68" s="218"/>
      <c r="AE68" s="55"/>
      <c r="AF68" s="55"/>
      <c r="AG68" s="55"/>
      <c r="AH68" s="55"/>
      <c r="AI68" s="55"/>
      <c r="AJ68" s="55"/>
      <c r="AK68" s="3"/>
      <c r="AL68" s="3"/>
      <c r="AM68" s="3"/>
      <c r="AN68" s="3"/>
      <c r="AO68" s="3"/>
    </row>
    <row r="69" spans="1:41" ht="15.75" thickBot="1">
      <c r="A69" s="94"/>
      <c r="B69" s="154"/>
      <c r="C69" s="94"/>
      <c r="D69" s="204" t="s">
        <v>35</v>
      </c>
      <c r="E69" s="194">
        <f>E61+E68</f>
        <v>4316816.5</v>
      </c>
      <c r="F69" s="191"/>
      <c r="G69" s="194">
        <f>G61+G68</f>
        <v>4319216.75</v>
      </c>
      <c r="H69" s="191"/>
      <c r="I69" s="194">
        <f>I61+I68</f>
        <v>4199303</v>
      </c>
      <c r="J69" s="143"/>
      <c r="K69" s="224"/>
      <c r="L69" s="191"/>
      <c r="M69" s="213">
        <f t="shared" si="14"/>
        <v>-2400.25</v>
      </c>
      <c r="N69" s="198"/>
      <c r="O69" s="197">
        <f t="shared" si="15"/>
        <v>-0.0005557141812806685</v>
      </c>
      <c r="P69" s="198"/>
      <c r="Q69" s="213">
        <f t="shared" si="12"/>
        <v>119913.75</v>
      </c>
      <c r="R69" s="198"/>
      <c r="S69" s="197">
        <f t="shared" si="13"/>
        <v>0.02855563173221842</v>
      </c>
      <c r="T69" s="197"/>
      <c r="U69" s="154"/>
      <c r="V69" s="55"/>
      <c r="W69" s="270"/>
      <c r="X69" s="270"/>
      <c r="Y69" s="270"/>
      <c r="Z69" s="270"/>
      <c r="AA69" s="270"/>
      <c r="AB69" s="270"/>
      <c r="AC69" s="55"/>
      <c r="AD69" s="218"/>
      <c r="AE69" s="55"/>
      <c r="AF69" s="55"/>
      <c r="AG69" s="55"/>
      <c r="AH69" s="55"/>
      <c r="AI69" s="55"/>
      <c r="AJ69" s="55"/>
      <c r="AK69" s="3"/>
      <c r="AL69" s="3"/>
      <c r="AM69" s="3"/>
      <c r="AN69" s="3"/>
      <c r="AO69" s="3"/>
    </row>
    <row r="70" spans="1:41" ht="15.75" thickTop="1">
      <c r="A70" s="94"/>
      <c r="B70" s="154"/>
      <c r="C70" s="94"/>
      <c r="D70" s="94"/>
      <c r="E70" s="94"/>
      <c r="F70" s="94"/>
      <c r="G70" s="94"/>
      <c r="H70" s="94"/>
      <c r="I70" s="94"/>
      <c r="J70" s="94"/>
      <c r="K70" s="154"/>
      <c r="L70" s="94"/>
      <c r="M70" s="198"/>
      <c r="N70" s="198"/>
      <c r="O70" s="197"/>
      <c r="P70" s="198"/>
      <c r="Q70" s="198"/>
      <c r="R70" s="198"/>
      <c r="S70" s="197"/>
      <c r="T70" s="197"/>
      <c r="U70" s="223"/>
      <c r="V70" s="59"/>
      <c r="W70" s="270"/>
      <c r="X70" s="270"/>
      <c r="Y70" s="270"/>
      <c r="Z70" s="270"/>
      <c r="AA70" s="270"/>
      <c r="AB70" s="270"/>
      <c r="AC70" s="55"/>
      <c r="AD70" s="218"/>
      <c r="AE70" s="55"/>
      <c r="AF70" s="55"/>
      <c r="AG70" s="55"/>
      <c r="AH70" s="55"/>
      <c r="AI70" s="55"/>
      <c r="AJ70" s="55"/>
      <c r="AK70" s="3"/>
      <c r="AL70" s="3"/>
      <c r="AM70" s="3"/>
      <c r="AN70" s="3"/>
      <c r="AO70" s="3"/>
    </row>
    <row r="71" spans="1:41" ht="15">
      <c r="A71" s="94"/>
      <c r="B71" s="154"/>
      <c r="C71" s="94"/>
      <c r="D71" s="93" t="s">
        <v>36</v>
      </c>
      <c r="E71" s="172"/>
      <c r="F71" s="172"/>
      <c r="G71" s="172"/>
      <c r="H71" s="172"/>
      <c r="I71" s="172"/>
      <c r="J71" s="172"/>
      <c r="K71" s="154"/>
      <c r="L71" s="94"/>
      <c r="M71" s="198"/>
      <c r="N71" s="198"/>
      <c r="O71" s="197"/>
      <c r="P71" s="198"/>
      <c r="Q71" s="198"/>
      <c r="R71" s="198"/>
      <c r="S71" s="197"/>
      <c r="T71" s="197"/>
      <c r="U71" s="154"/>
      <c r="V71" s="55"/>
      <c r="W71" s="270"/>
      <c r="X71" s="270"/>
      <c r="Y71" s="270"/>
      <c r="Z71" s="270"/>
      <c r="AA71" s="270"/>
      <c r="AB71" s="270"/>
      <c r="AC71" s="55"/>
      <c r="AD71" s="218"/>
      <c r="AE71" s="55"/>
      <c r="AF71" s="55"/>
      <c r="AG71" s="55"/>
      <c r="AH71" s="55"/>
      <c r="AI71" s="55"/>
      <c r="AJ71" s="55"/>
      <c r="AK71" s="3"/>
      <c r="AL71" s="3"/>
      <c r="AM71" s="3"/>
      <c r="AN71" s="3"/>
      <c r="AO71" s="3"/>
    </row>
    <row r="72" spans="1:41" ht="15">
      <c r="A72" s="94"/>
      <c r="B72" s="154"/>
      <c r="C72" s="94"/>
      <c r="D72" s="93" t="s">
        <v>1</v>
      </c>
      <c r="E72" s="214"/>
      <c r="F72" s="214"/>
      <c r="G72" s="172"/>
      <c r="H72" s="172"/>
      <c r="I72" s="172"/>
      <c r="J72" s="172"/>
      <c r="K72" s="154"/>
      <c r="L72" s="94"/>
      <c r="M72" s="198"/>
      <c r="N72" s="198"/>
      <c r="O72" s="197"/>
      <c r="P72" s="198"/>
      <c r="Q72" s="198"/>
      <c r="R72" s="198"/>
      <c r="S72" s="197"/>
      <c r="T72" s="197"/>
      <c r="U72" s="154"/>
      <c r="V72" s="55"/>
      <c r="W72" s="270"/>
      <c r="X72" s="270"/>
      <c r="Y72" s="270"/>
      <c r="Z72" s="270"/>
      <c r="AA72" s="270"/>
      <c r="AB72" s="270"/>
      <c r="AC72" s="55"/>
      <c r="AD72" s="218"/>
      <c r="AE72" s="55"/>
      <c r="AF72" s="55"/>
      <c r="AG72" s="55"/>
      <c r="AH72" s="55"/>
      <c r="AI72" s="55"/>
      <c r="AJ72" s="55"/>
      <c r="AK72" s="3"/>
      <c r="AL72" s="3"/>
      <c r="AM72" s="3"/>
      <c r="AN72" s="3"/>
      <c r="AO72" s="3"/>
    </row>
    <row r="73" spans="1:41" ht="15">
      <c r="A73" s="94"/>
      <c r="B73" s="154"/>
      <c r="C73" s="94"/>
      <c r="D73" s="94" t="s">
        <v>40</v>
      </c>
      <c r="E73" s="161">
        <f>SUM(BalanceSheets!E31)</f>
        <v>261200</v>
      </c>
      <c r="F73" s="172"/>
      <c r="G73" s="161">
        <f>SUM(BalanceSheets!G31)</f>
        <v>195900</v>
      </c>
      <c r="H73" s="172"/>
      <c r="I73" s="161">
        <f>SUM(BalanceSheets!I31)</f>
        <v>67080</v>
      </c>
      <c r="J73" s="161"/>
      <c r="K73" s="223"/>
      <c r="L73" s="111"/>
      <c r="M73" s="213">
        <f t="shared" si="14"/>
        <v>65300</v>
      </c>
      <c r="N73" s="198"/>
      <c r="O73" s="197">
        <f t="shared" si="15"/>
        <v>0.3333333333333333</v>
      </c>
      <c r="P73" s="198"/>
      <c r="Q73" s="213">
        <f t="shared" si="12"/>
        <v>128820</v>
      </c>
      <c r="R73" s="198"/>
      <c r="S73" s="197">
        <f t="shared" si="13"/>
        <v>1.9203935599284436</v>
      </c>
      <c r="T73" s="197"/>
      <c r="U73" s="154"/>
      <c r="V73" s="55"/>
      <c r="W73" s="270"/>
      <c r="X73" s="270"/>
      <c r="Y73" s="270"/>
      <c r="Z73" s="270"/>
      <c r="AA73" s="270"/>
      <c r="AB73" s="270"/>
      <c r="AC73" s="55"/>
      <c r="AD73" s="218"/>
      <c r="AE73" s="55"/>
      <c r="AF73" s="55"/>
      <c r="AG73" s="55"/>
      <c r="AH73" s="55"/>
      <c r="AI73" s="55"/>
      <c r="AJ73" s="55"/>
      <c r="AK73" s="3"/>
      <c r="AL73" s="3"/>
      <c r="AM73" s="3"/>
      <c r="AN73" s="3"/>
      <c r="AO73" s="3"/>
    </row>
    <row r="74" spans="1:41" ht="15">
      <c r="A74" s="94"/>
      <c r="B74" s="154"/>
      <c r="C74" s="94"/>
      <c r="D74" s="94" t="s">
        <v>37</v>
      </c>
      <c r="E74" s="161">
        <f>SUM(BalanceSheets!E32)</f>
        <v>13000</v>
      </c>
      <c r="F74" s="172"/>
      <c r="G74" s="161">
        <f>SUM(BalanceSheets!G32)</f>
        <v>12800</v>
      </c>
      <c r="H74" s="172"/>
      <c r="I74" s="161">
        <f>SUM(BalanceSheets!I32)</f>
        <v>16000</v>
      </c>
      <c r="J74" s="161"/>
      <c r="K74" s="223"/>
      <c r="L74" s="111"/>
      <c r="M74" s="213">
        <f t="shared" si="14"/>
        <v>200</v>
      </c>
      <c r="N74" s="198"/>
      <c r="O74" s="197">
        <f t="shared" si="15"/>
        <v>0.015625</v>
      </c>
      <c r="P74" s="198"/>
      <c r="Q74" s="213">
        <f t="shared" si="12"/>
        <v>-3200</v>
      </c>
      <c r="R74" s="198"/>
      <c r="S74" s="197">
        <f t="shared" si="13"/>
        <v>-0.2</v>
      </c>
      <c r="T74" s="197"/>
      <c r="U74" s="154"/>
      <c r="V74" s="55"/>
      <c r="W74" s="270"/>
      <c r="X74" s="270"/>
      <c r="Y74" s="270"/>
      <c r="Z74" s="270"/>
      <c r="AA74" s="270"/>
      <c r="AB74" s="270"/>
      <c r="AC74" s="55"/>
      <c r="AD74" s="218"/>
      <c r="AE74" s="55"/>
      <c r="AF74" s="55"/>
      <c r="AG74" s="55"/>
      <c r="AH74" s="55"/>
      <c r="AI74" s="55"/>
      <c r="AJ74" s="55"/>
      <c r="AK74" s="3"/>
      <c r="AL74" s="3"/>
      <c r="AM74" s="3"/>
      <c r="AN74" s="3"/>
      <c r="AO74" s="3"/>
    </row>
    <row r="75" spans="1:41" ht="15">
      <c r="A75" s="94"/>
      <c r="B75" s="154"/>
      <c r="C75" s="94"/>
      <c r="D75" s="94" t="s">
        <v>38</v>
      </c>
      <c r="E75" s="161">
        <f>SUM(BalanceSheets!E33)</f>
        <v>26000</v>
      </c>
      <c r="F75" s="215"/>
      <c r="G75" s="161">
        <f>SUM(BalanceSheets!G33)</f>
        <v>25000</v>
      </c>
      <c r="H75" s="215"/>
      <c r="I75" s="161">
        <f>SUM(BalanceSheets!I33)</f>
        <v>22000</v>
      </c>
      <c r="J75" s="161"/>
      <c r="K75" s="223"/>
      <c r="L75" s="111"/>
      <c r="M75" s="213">
        <f t="shared" si="14"/>
        <v>1000</v>
      </c>
      <c r="N75" s="198"/>
      <c r="O75" s="197">
        <f t="shared" si="15"/>
        <v>0.04</v>
      </c>
      <c r="P75" s="198"/>
      <c r="Q75" s="213">
        <f t="shared" si="12"/>
        <v>3000</v>
      </c>
      <c r="R75" s="198"/>
      <c r="S75" s="197">
        <f t="shared" si="13"/>
        <v>0.13636363636363635</v>
      </c>
      <c r="T75" s="197"/>
      <c r="U75" s="154"/>
      <c r="V75" s="55"/>
      <c r="W75" s="270"/>
      <c r="X75" s="270"/>
      <c r="Y75" s="270"/>
      <c r="Z75" s="270"/>
      <c r="AA75" s="270"/>
      <c r="AB75" s="270"/>
      <c r="AC75" s="55"/>
      <c r="AD75" s="218"/>
      <c r="AE75" s="55"/>
      <c r="AF75" s="55"/>
      <c r="AG75" s="55"/>
      <c r="AH75" s="55"/>
      <c r="AI75" s="55"/>
      <c r="AJ75" s="55"/>
      <c r="AK75" s="3"/>
      <c r="AL75" s="3"/>
      <c r="AM75" s="3"/>
      <c r="AN75" s="3"/>
      <c r="AO75" s="3"/>
    </row>
    <row r="76" spans="1:41" ht="15">
      <c r="A76" s="94"/>
      <c r="B76" s="154"/>
      <c r="C76" s="94"/>
      <c r="D76" s="94" t="s">
        <v>39</v>
      </c>
      <c r="E76" s="172">
        <f>SUM(E73:E75)</f>
        <v>300200</v>
      </c>
      <c r="F76" s="172"/>
      <c r="G76" s="172">
        <f>SUM(G73:G75)</f>
        <v>233700</v>
      </c>
      <c r="H76" s="172"/>
      <c r="I76" s="161">
        <f>SUM(BalanceSheets!I34)</f>
        <v>105080</v>
      </c>
      <c r="J76" s="161"/>
      <c r="K76" s="224"/>
      <c r="L76" s="191"/>
      <c r="M76" s="213">
        <f t="shared" si="14"/>
        <v>66500</v>
      </c>
      <c r="N76" s="198"/>
      <c r="O76" s="197">
        <f t="shared" si="15"/>
        <v>0.2845528455284553</v>
      </c>
      <c r="P76" s="198"/>
      <c r="Q76" s="213">
        <f t="shared" si="12"/>
        <v>128620</v>
      </c>
      <c r="R76" s="198"/>
      <c r="S76" s="197">
        <f t="shared" si="13"/>
        <v>1.2240197944423297</v>
      </c>
      <c r="T76" s="197"/>
      <c r="U76" s="154"/>
      <c r="V76" s="55"/>
      <c r="W76" s="270"/>
      <c r="X76" s="270"/>
      <c r="Y76" s="270"/>
      <c r="Z76" s="270"/>
      <c r="AA76" s="270"/>
      <c r="AB76" s="270"/>
      <c r="AC76" s="55"/>
      <c r="AD76" s="218"/>
      <c r="AE76" s="55"/>
      <c r="AF76" s="55"/>
      <c r="AG76" s="55"/>
      <c r="AH76" s="55"/>
      <c r="AI76" s="55"/>
      <c r="AJ76" s="55"/>
      <c r="AK76" s="3"/>
      <c r="AL76" s="3"/>
      <c r="AM76" s="3"/>
      <c r="AN76" s="3"/>
      <c r="AO76" s="3"/>
    </row>
    <row r="77" spans="1:41" ht="15">
      <c r="A77" s="94"/>
      <c r="B77" s="154"/>
      <c r="C77" s="94"/>
      <c r="D77" s="93" t="s">
        <v>9</v>
      </c>
      <c r="E77" s="172"/>
      <c r="F77" s="172"/>
      <c r="G77" s="172"/>
      <c r="H77" s="172"/>
      <c r="I77" s="172"/>
      <c r="J77" s="172"/>
      <c r="K77" s="223"/>
      <c r="L77" s="111"/>
      <c r="M77" s="198"/>
      <c r="N77" s="198"/>
      <c r="O77" s="197"/>
      <c r="P77" s="198"/>
      <c r="Q77" s="198"/>
      <c r="R77" s="198"/>
      <c r="S77" s="197"/>
      <c r="T77" s="197"/>
      <c r="U77" s="154"/>
      <c r="V77" s="55"/>
      <c r="W77" s="270"/>
      <c r="X77" s="270"/>
      <c r="Y77" s="270"/>
      <c r="Z77" s="270"/>
      <c r="AA77" s="270"/>
      <c r="AB77" s="270"/>
      <c r="AC77" s="55"/>
      <c r="AD77" s="218"/>
      <c r="AE77" s="55"/>
      <c r="AF77" s="55"/>
      <c r="AG77" s="55"/>
      <c r="AH77" s="55"/>
      <c r="AI77" s="55"/>
      <c r="AJ77" s="55"/>
      <c r="AK77" s="3"/>
      <c r="AL77" s="3"/>
      <c r="AM77" s="3"/>
      <c r="AN77" s="3"/>
      <c r="AO77" s="3"/>
    </row>
    <row r="78" spans="1:41" ht="15">
      <c r="A78" s="94"/>
      <c r="B78" s="154"/>
      <c r="C78" s="94"/>
      <c r="D78" s="94" t="s">
        <v>85</v>
      </c>
      <c r="E78" s="161">
        <f>SUM(BalanceSheets!E36)</f>
        <v>1600000</v>
      </c>
      <c r="F78" s="111"/>
      <c r="G78" s="161">
        <f>SUM(BalanceSheets!G36)</f>
        <v>1700000</v>
      </c>
      <c r="H78" s="111"/>
      <c r="I78" s="161">
        <f>SUM(BalanceSheets!I36)</f>
        <v>1800000</v>
      </c>
      <c r="J78" s="161"/>
      <c r="K78" s="154"/>
      <c r="L78" s="94"/>
      <c r="M78" s="213">
        <f t="shared" si="14"/>
        <v>-100000</v>
      </c>
      <c r="N78" s="198"/>
      <c r="O78" s="197">
        <f t="shared" si="15"/>
        <v>-0.058823529411764705</v>
      </c>
      <c r="P78" s="198"/>
      <c r="Q78" s="213">
        <f t="shared" si="12"/>
        <v>-100000</v>
      </c>
      <c r="R78" s="198"/>
      <c r="S78" s="197">
        <f t="shared" si="13"/>
        <v>-0.05555555555555555</v>
      </c>
      <c r="T78" s="197"/>
      <c r="U78" s="154"/>
      <c r="V78" s="55"/>
      <c r="W78" s="270"/>
      <c r="X78" s="270"/>
      <c r="Y78" s="270"/>
      <c r="Z78" s="270"/>
      <c r="AA78" s="270"/>
      <c r="AB78" s="270"/>
      <c r="AC78" s="55"/>
      <c r="AD78" s="218"/>
      <c r="AE78" s="55"/>
      <c r="AF78" s="55"/>
      <c r="AG78" s="55"/>
      <c r="AH78" s="55"/>
      <c r="AI78" s="55"/>
      <c r="AJ78" s="55"/>
      <c r="AK78" s="3"/>
      <c r="AL78" s="3"/>
      <c r="AM78" s="3"/>
      <c r="AN78" s="3"/>
      <c r="AO78" s="3"/>
    </row>
    <row r="79" spans="1:41" ht="15">
      <c r="A79" s="94"/>
      <c r="B79" s="154"/>
      <c r="C79" s="94"/>
      <c r="D79" s="94" t="s">
        <v>41</v>
      </c>
      <c r="E79" s="161">
        <f>SUM(BalanceSheets!E37)</f>
        <v>80000</v>
      </c>
      <c r="F79" s="191"/>
      <c r="G79" s="161">
        <f>SUM(BalanceSheets!G37)</f>
        <v>85000</v>
      </c>
      <c r="H79" s="191"/>
      <c r="I79" s="161">
        <f>SUM(BalanceSheets!I37)</f>
        <v>90000</v>
      </c>
      <c r="J79" s="161"/>
      <c r="K79" s="223"/>
      <c r="L79" s="111"/>
      <c r="M79" s="213">
        <f t="shared" si="14"/>
        <v>-5000</v>
      </c>
      <c r="N79" s="198"/>
      <c r="O79" s="197">
        <f t="shared" si="15"/>
        <v>-0.058823529411764705</v>
      </c>
      <c r="P79" s="198"/>
      <c r="Q79" s="213">
        <f t="shared" si="12"/>
        <v>-5000</v>
      </c>
      <c r="R79" s="198"/>
      <c r="S79" s="197">
        <f t="shared" si="13"/>
        <v>-0.05555555555555555</v>
      </c>
      <c r="T79" s="197"/>
      <c r="U79" s="154"/>
      <c r="V79" s="55"/>
      <c r="W79" s="270"/>
      <c r="X79" s="270"/>
      <c r="Y79" s="270"/>
      <c r="Z79" s="270"/>
      <c r="AA79" s="270"/>
      <c r="AB79" s="270"/>
      <c r="AC79" s="55"/>
      <c r="AD79" s="218"/>
      <c r="AE79" s="55"/>
      <c r="AF79" s="55"/>
      <c r="AG79" s="55"/>
      <c r="AH79" s="55"/>
      <c r="AI79" s="55"/>
      <c r="AJ79" s="55"/>
      <c r="AK79" s="3"/>
      <c r="AL79" s="3"/>
      <c r="AM79" s="3"/>
      <c r="AN79" s="3"/>
      <c r="AO79" s="3"/>
    </row>
    <row r="80" spans="1:41" ht="15">
      <c r="A80" s="94"/>
      <c r="B80" s="154"/>
      <c r="C80" s="94"/>
      <c r="D80" s="94" t="s">
        <v>42</v>
      </c>
      <c r="E80" s="182">
        <f>E78+E79</f>
        <v>1680000</v>
      </c>
      <c r="F80" s="111"/>
      <c r="G80" s="167">
        <f>SUM(BalanceSheets!G38)</f>
        <v>1785000</v>
      </c>
      <c r="H80" s="111"/>
      <c r="I80" s="182">
        <f>I78+I79</f>
        <v>1890000</v>
      </c>
      <c r="J80" s="143"/>
      <c r="K80" s="155"/>
      <c r="L80" s="153"/>
      <c r="M80" s="213">
        <f t="shared" si="14"/>
        <v>-105000</v>
      </c>
      <c r="N80" s="198"/>
      <c r="O80" s="197">
        <f t="shared" si="15"/>
        <v>-0.058823529411764705</v>
      </c>
      <c r="P80" s="198"/>
      <c r="Q80" s="213">
        <f t="shared" si="12"/>
        <v>-105000</v>
      </c>
      <c r="R80" s="198"/>
      <c r="S80" s="197">
        <f t="shared" si="13"/>
        <v>-0.05555555555555555</v>
      </c>
      <c r="T80" s="197"/>
      <c r="U80" s="154"/>
      <c r="V80" s="55"/>
      <c r="W80" s="270"/>
      <c r="X80" s="270"/>
      <c r="Y80" s="270"/>
      <c r="Z80" s="270"/>
      <c r="AA80" s="270"/>
      <c r="AB80" s="270"/>
      <c r="AC80" s="55"/>
      <c r="AD80" s="218"/>
      <c r="AE80" s="55"/>
      <c r="AF80" s="55"/>
      <c r="AG80" s="55"/>
      <c r="AH80" s="55"/>
      <c r="AI80" s="55"/>
      <c r="AJ80" s="55"/>
      <c r="AK80" s="3"/>
      <c r="AL80" s="3"/>
      <c r="AM80" s="3"/>
      <c r="AN80" s="3"/>
      <c r="AO80" s="3"/>
    </row>
    <row r="81" spans="1:41" ht="15">
      <c r="A81" s="94"/>
      <c r="B81" s="154"/>
      <c r="C81" s="94"/>
      <c r="D81" s="94" t="s">
        <v>43</v>
      </c>
      <c r="E81" s="111">
        <f>E76+E80</f>
        <v>1980200</v>
      </c>
      <c r="F81" s="111"/>
      <c r="G81" s="111">
        <f>G76+G80</f>
        <v>2018700</v>
      </c>
      <c r="H81" s="111"/>
      <c r="I81" s="111">
        <f>I76+I80</f>
        <v>1995080</v>
      </c>
      <c r="J81" s="111"/>
      <c r="K81" s="154"/>
      <c r="L81" s="94"/>
      <c r="M81" s="213">
        <f t="shared" si="14"/>
        <v>-38500</v>
      </c>
      <c r="N81" s="198"/>
      <c r="O81" s="197">
        <f t="shared" si="15"/>
        <v>-0.019071679793926783</v>
      </c>
      <c r="P81" s="198"/>
      <c r="Q81" s="213">
        <f t="shared" si="12"/>
        <v>23620</v>
      </c>
      <c r="R81" s="198"/>
      <c r="S81" s="197">
        <f t="shared" si="13"/>
        <v>0.011839124245644286</v>
      </c>
      <c r="T81" s="197"/>
      <c r="U81" s="154"/>
      <c r="V81" s="55"/>
      <c r="W81" s="270"/>
      <c r="X81" s="270"/>
      <c r="Y81" s="270"/>
      <c r="Z81" s="270"/>
      <c r="AA81" s="270"/>
      <c r="AB81" s="270"/>
      <c r="AC81" s="55"/>
      <c r="AD81" s="218"/>
      <c r="AE81" s="55"/>
      <c r="AF81" s="55"/>
      <c r="AG81" s="55"/>
      <c r="AH81" s="55"/>
      <c r="AI81" s="55"/>
      <c r="AJ81" s="55"/>
      <c r="AK81" s="3"/>
      <c r="AL81" s="3"/>
      <c r="AM81" s="3"/>
      <c r="AN81" s="3"/>
      <c r="AO81" s="3"/>
    </row>
    <row r="82" spans="1:41" ht="15">
      <c r="A82" s="94"/>
      <c r="B82" s="154"/>
      <c r="C82" s="94"/>
      <c r="D82" s="94"/>
      <c r="E82" s="111"/>
      <c r="F82" s="111"/>
      <c r="G82" s="111"/>
      <c r="H82" s="111"/>
      <c r="I82" s="111"/>
      <c r="J82" s="111"/>
      <c r="K82" s="223"/>
      <c r="L82" s="111"/>
      <c r="M82" s="198"/>
      <c r="N82" s="198"/>
      <c r="O82" s="197"/>
      <c r="P82" s="198"/>
      <c r="Q82" s="198"/>
      <c r="R82" s="198"/>
      <c r="S82" s="197"/>
      <c r="T82" s="197"/>
      <c r="U82" s="154"/>
      <c r="V82" s="55"/>
      <c r="W82" s="270"/>
      <c r="X82" s="270"/>
      <c r="Y82" s="270"/>
      <c r="Z82" s="270"/>
      <c r="AA82" s="270"/>
      <c r="AB82" s="270"/>
      <c r="AC82" s="55"/>
      <c r="AD82" s="218"/>
      <c r="AE82" s="55"/>
      <c r="AF82" s="55"/>
      <c r="AG82" s="55"/>
      <c r="AH82" s="55"/>
      <c r="AI82" s="55"/>
      <c r="AJ82" s="55"/>
      <c r="AK82" s="3"/>
      <c r="AL82" s="3"/>
      <c r="AM82" s="3"/>
      <c r="AN82" s="3"/>
      <c r="AO82" s="3"/>
    </row>
    <row r="83" spans="1:41" ht="15">
      <c r="A83" s="94"/>
      <c r="B83" s="154"/>
      <c r="C83" s="94"/>
      <c r="D83" s="93" t="s">
        <v>44</v>
      </c>
      <c r="E83" s="111"/>
      <c r="F83" s="111"/>
      <c r="G83" s="111"/>
      <c r="H83" s="111"/>
      <c r="I83" s="111"/>
      <c r="J83" s="111"/>
      <c r="K83" s="154"/>
      <c r="L83" s="94"/>
      <c r="M83" s="198"/>
      <c r="N83" s="198"/>
      <c r="O83" s="197"/>
      <c r="P83" s="198"/>
      <c r="Q83" s="198"/>
      <c r="R83" s="198"/>
      <c r="S83" s="197"/>
      <c r="T83" s="197"/>
      <c r="U83" s="154"/>
      <c r="V83" s="55"/>
      <c r="W83" s="270"/>
      <c r="X83" s="270"/>
      <c r="Y83" s="270"/>
      <c r="Z83" s="270"/>
      <c r="AA83" s="270"/>
      <c r="AB83" s="270"/>
      <c r="AC83" s="55"/>
      <c r="AD83" s="218"/>
      <c r="AE83" s="55"/>
      <c r="AF83" s="55"/>
      <c r="AG83" s="55"/>
      <c r="AH83" s="55"/>
      <c r="AI83" s="55"/>
      <c r="AJ83" s="55"/>
      <c r="AK83" s="3"/>
      <c r="AL83" s="3"/>
      <c r="AM83" s="3"/>
      <c r="AN83" s="3"/>
      <c r="AO83" s="3"/>
    </row>
    <row r="84" spans="1:41" ht="15">
      <c r="A84" s="94"/>
      <c r="B84" s="154"/>
      <c r="C84" s="94"/>
      <c r="D84" s="94" t="s">
        <v>83</v>
      </c>
      <c r="E84" s="161">
        <f>SUM(BalanceSheets!E42)</f>
        <v>1000000</v>
      </c>
      <c r="F84" s="111"/>
      <c r="G84" s="161">
        <f>SUM(BalanceSheets!G42)</f>
        <v>1000000</v>
      </c>
      <c r="H84" s="111"/>
      <c r="I84" s="161">
        <f>SUM(BalanceSheets!I42)</f>
        <v>1000000</v>
      </c>
      <c r="J84" s="161"/>
      <c r="K84" s="154"/>
      <c r="L84" s="94"/>
      <c r="M84" s="213">
        <f t="shared" si="14"/>
        <v>0</v>
      </c>
      <c r="N84" s="198"/>
      <c r="O84" s="197">
        <f t="shared" si="15"/>
        <v>0</v>
      </c>
      <c r="P84" s="198"/>
      <c r="Q84" s="213">
        <f t="shared" si="12"/>
        <v>0</v>
      </c>
      <c r="R84" s="198"/>
      <c r="S84" s="197">
        <f t="shared" si="13"/>
        <v>0</v>
      </c>
      <c r="T84" s="197"/>
      <c r="U84" s="154"/>
      <c r="V84" s="55"/>
      <c r="W84" s="270"/>
      <c r="X84" s="270"/>
      <c r="Y84" s="270"/>
      <c r="Z84" s="270"/>
      <c r="AA84" s="270"/>
      <c r="AB84" s="270"/>
      <c r="AC84" s="55"/>
      <c r="AD84" s="218"/>
      <c r="AE84" s="55"/>
      <c r="AF84" s="55"/>
      <c r="AG84" s="55"/>
      <c r="AH84" s="55"/>
      <c r="AI84" s="55"/>
      <c r="AJ84" s="55"/>
      <c r="AK84" s="3"/>
      <c r="AL84" s="3"/>
      <c r="AM84" s="3"/>
      <c r="AN84" s="3"/>
      <c r="AO84" s="3"/>
    </row>
    <row r="85" spans="1:41" ht="15">
      <c r="A85" s="94"/>
      <c r="B85" s="154"/>
      <c r="C85" s="94"/>
      <c r="D85" s="94" t="s">
        <v>45</v>
      </c>
      <c r="E85" s="161">
        <f>SUM(BalanceSheets!E43)</f>
        <v>225000</v>
      </c>
      <c r="F85" s="111"/>
      <c r="G85" s="161">
        <f>SUM(BalanceSheets!G43)</f>
        <v>225000</v>
      </c>
      <c r="H85" s="111"/>
      <c r="I85" s="161">
        <f>SUM(BalanceSheets!I43)</f>
        <v>225000</v>
      </c>
      <c r="J85" s="161"/>
      <c r="K85" s="154"/>
      <c r="L85" s="94"/>
      <c r="M85" s="213">
        <f t="shared" si="14"/>
        <v>0</v>
      </c>
      <c r="N85" s="198"/>
      <c r="O85" s="197">
        <f t="shared" si="15"/>
        <v>0</v>
      </c>
      <c r="P85" s="198"/>
      <c r="Q85" s="213">
        <f t="shared" si="12"/>
        <v>0</v>
      </c>
      <c r="R85" s="198"/>
      <c r="S85" s="197">
        <f t="shared" si="13"/>
        <v>0</v>
      </c>
      <c r="T85" s="197"/>
      <c r="U85" s="154"/>
      <c r="V85" s="55"/>
      <c r="W85" s="270"/>
      <c r="X85" s="270"/>
      <c r="Y85" s="270"/>
      <c r="Z85" s="270"/>
      <c r="AA85" s="270"/>
      <c r="AB85" s="270"/>
      <c r="AC85" s="55"/>
      <c r="AD85" s="218"/>
      <c r="AE85" s="55"/>
      <c r="AF85" s="55"/>
      <c r="AG85" s="55"/>
      <c r="AH85" s="55"/>
      <c r="AI85" s="55"/>
      <c r="AJ85" s="55"/>
      <c r="AK85" s="3"/>
      <c r="AL85" s="3"/>
      <c r="AM85" s="3"/>
      <c r="AN85" s="3"/>
      <c r="AO85" s="3"/>
    </row>
    <row r="86" spans="1:41" ht="15">
      <c r="A86" s="94"/>
      <c r="B86" s="154"/>
      <c r="C86" s="94"/>
      <c r="D86" s="94" t="s">
        <v>46</v>
      </c>
      <c r="E86" s="161">
        <f>SUM(BalanceSheets!E44)</f>
        <v>1211616.5</v>
      </c>
      <c r="F86" s="111"/>
      <c r="G86" s="161">
        <f>SUM(BalanceSheets!G44)</f>
        <v>1175516.75</v>
      </c>
      <c r="H86" s="111"/>
      <c r="I86" s="161">
        <f>SUM(BalanceSheets!I44)</f>
        <v>979223</v>
      </c>
      <c r="J86" s="161"/>
      <c r="K86" s="223"/>
      <c r="L86" s="111"/>
      <c r="M86" s="213">
        <f t="shared" si="14"/>
        <v>36099.75</v>
      </c>
      <c r="N86" s="198"/>
      <c r="O86" s="197">
        <f t="shared" si="15"/>
        <v>0.030709685761602292</v>
      </c>
      <c r="P86" s="198"/>
      <c r="Q86" s="213">
        <f t="shared" si="12"/>
        <v>196293.75</v>
      </c>
      <c r="R86" s="198"/>
      <c r="S86" s="197">
        <f t="shared" si="13"/>
        <v>0.20045867999424033</v>
      </c>
      <c r="T86" s="197"/>
      <c r="U86" s="154"/>
      <c r="V86" s="55"/>
      <c r="W86" s="270"/>
      <c r="X86" s="270"/>
      <c r="Y86" s="270"/>
      <c r="Z86" s="270"/>
      <c r="AA86" s="270"/>
      <c r="AB86" s="270"/>
      <c r="AC86" s="55"/>
      <c r="AD86" s="218"/>
      <c r="AE86" s="55"/>
      <c r="AF86" s="55"/>
      <c r="AG86" s="55"/>
      <c r="AH86" s="55"/>
      <c r="AI86" s="55"/>
      <c r="AJ86" s="55"/>
      <c r="AK86" s="3"/>
      <c r="AL86" s="3"/>
      <c r="AM86" s="3"/>
      <c r="AN86" s="3"/>
      <c r="AO86" s="3"/>
    </row>
    <row r="87" spans="1:41" ht="15">
      <c r="A87" s="94"/>
      <c r="B87" s="154"/>
      <c r="C87" s="94"/>
      <c r="D87" s="94" t="s">
        <v>471</v>
      </c>
      <c r="E87" s="216">
        <f>SUM(BalanceSheets!E45)</f>
        <v>-100000</v>
      </c>
      <c r="F87" s="111"/>
      <c r="G87" s="216">
        <f>SUM(BalanceSheets!G45)</f>
        <v>-100000</v>
      </c>
      <c r="H87" s="191"/>
      <c r="I87" s="161">
        <f>SUM(BalanceSheets!I45)</f>
        <v>0</v>
      </c>
      <c r="J87" s="161"/>
      <c r="K87" s="223"/>
      <c r="L87" s="111"/>
      <c r="M87" s="213">
        <f t="shared" si="14"/>
        <v>0</v>
      </c>
      <c r="N87" s="198"/>
      <c r="O87" s="197">
        <f t="shared" si="15"/>
        <v>0</v>
      </c>
      <c r="P87" s="198"/>
      <c r="Q87" s="213">
        <f t="shared" si="12"/>
        <v>-100000</v>
      </c>
      <c r="R87" s="198"/>
      <c r="S87" s="471" t="s">
        <v>235</v>
      </c>
      <c r="T87" s="471"/>
      <c r="U87" s="154"/>
      <c r="V87" s="55"/>
      <c r="W87" s="270"/>
      <c r="X87" s="270"/>
      <c r="Y87" s="270"/>
      <c r="Z87" s="270"/>
      <c r="AA87" s="270"/>
      <c r="AB87" s="270"/>
      <c r="AC87" s="55"/>
      <c r="AD87" s="218"/>
      <c r="AE87" s="55"/>
      <c r="AF87" s="55"/>
      <c r="AG87" s="55"/>
      <c r="AH87" s="55"/>
      <c r="AI87" s="55"/>
      <c r="AJ87" s="55"/>
      <c r="AK87" s="3"/>
      <c r="AL87" s="3"/>
      <c r="AM87" s="3"/>
      <c r="AN87" s="3"/>
      <c r="AO87" s="3"/>
    </row>
    <row r="88" spans="1:41" ht="15">
      <c r="A88" s="94"/>
      <c r="B88" s="154"/>
      <c r="C88" s="94"/>
      <c r="D88" s="94" t="s">
        <v>47</v>
      </c>
      <c r="E88" s="111">
        <f>SUM(E84:E87)</f>
        <v>2336616.5</v>
      </c>
      <c r="F88" s="111"/>
      <c r="G88" s="111">
        <f>SUM(G84:G87)</f>
        <v>2300516.75</v>
      </c>
      <c r="H88" s="111"/>
      <c r="I88" s="111">
        <f>SUM(I84:I87)</f>
        <v>2204223</v>
      </c>
      <c r="J88" s="111"/>
      <c r="K88" s="224"/>
      <c r="L88" s="191"/>
      <c r="M88" s="213">
        <f t="shared" si="14"/>
        <v>36099.75</v>
      </c>
      <c r="N88" s="198"/>
      <c r="O88" s="197">
        <f t="shared" si="15"/>
        <v>0.015692017891197705</v>
      </c>
      <c r="P88" s="198"/>
      <c r="Q88" s="213">
        <f t="shared" si="12"/>
        <v>96293.75</v>
      </c>
      <c r="R88" s="198"/>
      <c r="S88" s="197">
        <f t="shared" si="13"/>
        <v>0.043686029045155596</v>
      </c>
      <c r="T88" s="197"/>
      <c r="U88" s="154"/>
      <c r="V88" s="55"/>
      <c r="W88" s="270"/>
      <c r="X88" s="270"/>
      <c r="Y88" s="270"/>
      <c r="Z88" s="270"/>
      <c r="AA88" s="270"/>
      <c r="AB88" s="270"/>
      <c r="AC88" s="55"/>
      <c r="AD88" s="218"/>
      <c r="AE88" s="55"/>
      <c r="AF88" s="55"/>
      <c r="AG88" s="55"/>
      <c r="AH88" s="55"/>
      <c r="AI88" s="55"/>
      <c r="AJ88" s="55"/>
      <c r="AK88" s="3"/>
      <c r="AL88" s="3"/>
      <c r="AM88" s="3"/>
      <c r="AN88" s="3"/>
      <c r="AO88" s="3"/>
    </row>
    <row r="89" spans="1:41" ht="15.75" thickBot="1">
      <c r="A89" s="94"/>
      <c r="B89" s="154"/>
      <c r="C89" s="94"/>
      <c r="D89" s="204" t="s">
        <v>48</v>
      </c>
      <c r="E89" s="194">
        <f>E81+E88</f>
        <v>4316816.5</v>
      </c>
      <c r="F89" s="193"/>
      <c r="G89" s="194">
        <f>G81+G88</f>
        <v>4319216.75</v>
      </c>
      <c r="H89" s="193"/>
      <c r="I89" s="194">
        <f>I81+I88</f>
        <v>4199303</v>
      </c>
      <c r="J89" s="143"/>
      <c r="K89" s="155"/>
      <c r="L89" s="153"/>
      <c r="M89" s="472">
        <f t="shared" si="14"/>
        <v>-2400.25</v>
      </c>
      <c r="N89" s="198"/>
      <c r="O89" s="466">
        <f t="shared" si="15"/>
        <v>-0.0005557141812806685</v>
      </c>
      <c r="P89" s="198"/>
      <c r="Q89" s="472">
        <f t="shared" si="12"/>
        <v>119913.75</v>
      </c>
      <c r="R89" s="198"/>
      <c r="S89" s="466">
        <f t="shared" si="13"/>
        <v>0.02855563173221842</v>
      </c>
      <c r="T89" s="464"/>
      <c r="U89" s="154"/>
      <c r="V89" s="55"/>
      <c r="W89" s="270"/>
      <c r="X89" s="270"/>
      <c r="Y89" s="270"/>
      <c r="Z89" s="270"/>
      <c r="AA89" s="270"/>
      <c r="AB89" s="270"/>
      <c r="AC89" s="55"/>
      <c r="AD89" s="218"/>
      <c r="AE89" s="55"/>
      <c r="AF89" s="55"/>
      <c r="AG89" s="55"/>
      <c r="AH89" s="55"/>
      <c r="AI89" s="55"/>
      <c r="AJ89" s="55"/>
      <c r="AK89" s="3"/>
      <c r="AL89" s="3"/>
      <c r="AM89" s="3"/>
      <c r="AN89" s="3"/>
      <c r="AO89" s="3"/>
    </row>
    <row r="90" spans="1:41" ht="15.75" thickTop="1">
      <c r="A90" s="94"/>
      <c r="B90" s="154"/>
      <c r="C90" s="94"/>
      <c r="D90" s="153"/>
      <c r="E90" s="193"/>
      <c r="F90" s="193"/>
      <c r="G90" s="193"/>
      <c r="H90" s="193"/>
      <c r="I90" s="193"/>
      <c r="J90" s="193"/>
      <c r="K90" s="191"/>
      <c r="L90" s="191"/>
      <c r="M90" s="161"/>
      <c r="N90" s="94"/>
      <c r="O90" s="171"/>
      <c r="P90" s="171"/>
      <c r="Q90" s="171"/>
      <c r="R90" s="171"/>
      <c r="S90" s="171"/>
      <c r="T90" s="171"/>
      <c r="U90" s="94"/>
      <c r="V90" s="55"/>
      <c r="W90" s="55"/>
      <c r="X90" s="53"/>
      <c r="Y90" s="53"/>
      <c r="Z90" s="53"/>
      <c r="AA90" s="53"/>
      <c r="AB90" s="55"/>
      <c r="AC90" s="55"/>
      <c r="AD90" s="218"/>
      <c r="AE90" s="55"/>
      <c r="AF90" s="55"/>
      <c r="AG90" s="55"/>
      <c r="AH90" s="55"/>
      <c r="AI90" s="55"/>
      <c r="AJ90" s="55"/>
      <c r="AK90" s="3"/>
      <c r="AL90" s="3"/>
      <c r="AM90" s="3"/>
      <c r="AN90" s="3"/>
      <c r="AO90" s="3"/>
    </row>
    <row r="91" spans="1:41" ht="15">
      <c r="A91" s="4"/>
      <c r="B91" s="12"/>
      <c r="C91" s="218"/>
      <c r="D91" s="218"/>
      <c r="E91" s="218"/>
      <c r="F91" s="218"/>
      <c r="G91" s="218"/>
      <c r="H91" s="218"/>
      <c r="I91" s="218"/>
      <c r="J91" s="218"/>
      <c r="K91" s="218"/>
      <c r="L91" s="218"/>
      <c r="M91" s="218"/>
      <c r="N91" s="218"/>
      <c r="O91" s="218"/>
      <c r="P91" s="218"/>
      <c r="Q91" s="218"/>
      <c r="R91" s="218"/>
      <c r="S91" s="218"/>
      <c r="T91" s="218"/>
      <c r="U91" s="218"/>
      <c r="V91" s="218"/>
      <c r="W91" s="218"/>
      <c r="X91" s="220"/>
      <c r="Y91" s="220"/>
      <c r="Z91" s="220"/>
      <c r="AA91" s="220"/>
      <c r="AB91" s="218"/>
      <c r="AC91" s="218"/>
      <c r="AD91" s="218"/>
      <c r="AE91" s="55"/>
      <c r="AF91" s="55"/>
      <c r="AG91" s="55"/>
      <c r="AH91" s="55"/>
      <c r="AI91" s="55"/>
      <c r="AJ91" s="55"/>
      <c r="AK91" s="3"/>
      <c r="AL91" s="3"/>
      <c r="AM91" s="3"/>
      <c r="AN91" s="3"/>
      <c r="AO91" s="3"/>
    </row>
    <row r="92" spans="1:41" ht="15">
      <c r="A92" s="4"/>
      <c r="B92" s="4"/>
      <c r="C92" s="55"/>
      <c r="D92" s="55"/>
      <c r="E92" s="55"/>
      <c r="F92" s="55"/>
      <c r="G92" s="55"/>
      <c r="H92" s="55"/>
      <c r="I92" s="55"/>
      <c r="J92" s="55"/>
      <c r="K92" s="55"/>
      <c r="L92" s="55"/>
      <c r="M92" s="55"/>
      <c r="N92" s="55"/>
      <c r="O92" s="55"/>
      <c r="P92" s="55"/>
      <c r="Q92" s="55"/>
      <c r="R92" s="55"/>
      <c r="S92" s="55"/>
      <c r="T92" s="55"/>
      <c r="U92" s="55"/>
      <c r="V92" s="55"/>
      <c r="W92" s="55"/>
      <c r="X92" s="53"/>
      <c r="Y92" s="53"/>
      <c r="Z92" s="53"/>
      <c r="AA92" s="53"/>
      <c r="AB92" s="55"/>
      <c r="AC92" s="55"/>
      <c r="AD92" s="55"/>
      <c r="AE92" s="55"/>
      <c r="AF92" s="55"/>
      <c r="AG92" s="55"/>
      <c r="AH92" s="55"/>
      <c r="AI92" s="55"/>
      <c r="AJ92" s="55"/>
      <c r="AK92" s="3"/>
      <c r="AL92" s="3"/>
      <c r="AM92" s="3"/>
      <c r="AN92" s="3"/>
      <c r="AO92" s="3"/>
    </row>
    <row r="93" spans="1:41" ht="15">
      <c r="A93" s="4"/>
      <c r="B93" s="4"/>
      <c r="C93" s="55"/>
      <c r="D93" s="55"/>
      <c r="E93" s="55"/>
      <c r="F93" s="55"/>
      <c r="G93" s="55"/>
      <c r="H93" s="55"/>
      <c r="I93" s="55"/>
      <c r="J93" s="55"/>
      <c r="K93" s="55"/>
      <c r="L93" s="55"/>
      <c r="M93" s="55"/>
      <c r="N93" s="55"/>
      <c r="O93" s="55"/>
      <c r="P93" s="55"/>
      <c r="Q93" s="55"/>
      <c r="R93" s="55"/>
      <c r="S93" s="55"/>
      <c r="T93" s="55"/>
      <c r="U93" s="55"/>
      <c r="V93" s="55"/>
      <c r="W93" s="55"/>
      <c r="X93" s="53"/>
      <c r="Y93" s="53"/>
      <c r="Z93" s="53"/>
      <c r="AA93" s="53"/>
      <c r="AB93" s="55"/>
      <c r="AC93" s="55"/>
      <c r="AD93" s="55"/>
      <c r="AE93" s="55"/>
      <c r="AF93" s="55"/>
      <c r="AG93" s="55"/>
      <c r="AH93" s="55"/>
      <c r="AI93" s="55"/>
      <c r="AJ93" s="55"/>
      <c r="AK93" s="3"/>
      <c r="AL93" s="3"/>
      <c r="AM93" s="3"/>
      <c r="AN93" s="3"/>
      <c r="AO93" s="3"/>
    </row>
    <row r="94" spans="1:41" ht="15">
      <c r="A94" s="4"/>
      <c r="B94" s="4"/>
      <c r="C94" s="55"/>
      <c r="D94" s="55"/>
      <c r="E94" s="55"/>
      <c r="F94" s="55"/>
      <c r="G94" s="55"/>
      <c r="H94" s="55"/>
      <c r="I94" s="55"/>
      <c r="J94" s="55"/>
      <c r="K94" s="55"/>
      <c r="L94" s="55"/>
      <c r="M94" s="55"/>
      <c r="N94" s="55"/>
      <c r="O94" s="55"/>
      <c r="P94" s="55"/>
      <c r="Q94" s="55"/>
      <c r="R94" s="55"/>
      <c r="S94" s="55"/>
      <c r="T94" s="55"/>
      <c r="U94" s="55"/>
      <c r="V94" s="55"/>
      <c r="W94" s="55"/>
      <c r="X94" s="53"/>
      <c r="Y94" s="53"/>
      <c r="Z94" s="53"/>
      <c r="AA94" s="53"/>
      <c r="AB94" s="55"/>
      <c r="AC94" s="55"/>
      <c r="AD94" s="55"/>
      <c r="AE94" s="55"/>
      <c r="AF94" s="55"/>
      <c r="AG94" s="55"/>
      <c r="AH94" s="55"/>
      <c r="AI94" s="55"/>
      <c r="AJ94" s="55"/>
      <c r="AK94" s="3"/>
      <c r="AL94" s="3"/>
      <c r="AM94" s="3"/>
      <c r="AN94" s="3"/>
      <c r="AO94" s="3"/>
    </row>
    <row r="95" spans="1:41" ht="15">
      <c r="A95" s="4"/>
      <c r="B95" s="4"/>
      <c r="C95" s="55"/>
      <c r="D95" s="55"/>
      <c r="E95" s="55"/>
      <c r="F95" s="55"/>
      <c r="G95" s="55"/>
      <c r="H95" s="55"/>
      <c r="I95" s="55"/>
      <c r="J95" s="55"/>
      <c r="K95" s="55"/>
      <c r="L95" s="55"/>
      <c r="M95" s="55"/>
      <c r="N95" s="55"/>
      <c r="O95" s="55"/>
      <c r="P95" s="55"/>
      <c r="Q95" s="55"/>
      <c r="R95" s="55"/>
      <c r="S95" s="55"/>
      <c r="T95" s="55"/>
      <c r="U95" s="55"/>
      <c r="V95" s="55"/>
      <c r="W95" s="55"/>
      <c r="X95" s="53"/>
      <c r="Y95" s="53"/>
      <c r="Z95" s="53"/>
      <c r="AA95" s="53"/>
      <c r="AB95" s="55"/>
      <c r="AC95" s="55"/>
      <c r="AD95" s="55"/>
      <c r="AE95" s="55"/>
      <c r="AF95" s="55"/>
      <c r="AG95" s="55"/>
      <c r="AH95" s="55"/>
      <c r="AI95" s="55"/>
      <c r="AJ95" s="55"/>
      <c r="AK95" s="3"/>
      <c r="AL95" s="3"/>
      <c r="AM95" s="3"/>
      <c r="AN95" s="3"/>
      <c r="AO95" s="3"/>
    </row>
    <row r="96" spans="1:41" ht="15">
      <c r="A96" s="4"/>
      <c r="B96" s="4"/>
      <c r="C96" s="55"/>
      <c r="D96" s="55"/>
      <c r="E96" s="55"/>
      <c r="F96" s="55"/>
      <c r="G96" s="55"/>
      <c r="H96" s="55"/>
      <c r="I96" s="55"/>
      <c r="J96" s="55"/>
      <c r="K96" s="55"/>
      <c r="L96" s="55"/>
      <c r="M96" s="55"/>
      <c r="N96" s="55"/>
      <c r="O96" s="55"/>
      <c r="P96" s="55"/>
      <c r="Q96" s="55"/>
      <c r="R96" s="55"/>
      <c r="S96" s="55"/>
      <c r="T96" s="55"/>
      <c r="U96" s="55"/>
      <c r="V96" s="55"/>
      <c r="W96" s="55"/>
      <c r="X96" s="53"/>
      <c r="Y96" s="53"/>
      <c r="Z96" s="53"/>
      <c r="AA96" s="53"/>
      <c r="AB96" s="55"/>
      <c r="AC96" s="55"/>
      <c r="AD96" s="55"/>
      <c r="AE96" s="55"/>
      <c r="AF96" s="55"/>
      <c r="AG96" s="55"/>
      <c r="AH96" s="55"/>
      <c r="AI96" s="55"/>
      <c r="AJ96" s="55"/>
      <c r="AK96" s="3"/>
      <c r="AL96" s="3"/>
      <c r="AM96" s="3"/>
      <c r="AN96" s="3"/>
      <c r="AO96" s="3"/>
    </row>
    <row r="97" spans="1:41" ht="15">
      <c r="A97" s="4"/>
      <c r="B97" s="4"/>
      <c r="C97" s="55"/>
      <c r="D97" s="55"/>
      <c r="E97" s="55"/>
      <c r="F97" s="55"/>
      <c r="G97" s="55"/>
      <c r="H97" s="55"/>
      <c r="I97" s="55"/>
      <c r="J97" s="55"/>
      <c r="K97" s="55"/>
      <c r="L97" s="55"/>
      <c r="M97" s="55"/>
      <c r="N97" s="55"/>
      <c r="O97" s="55"/>
      <c r="P97" s="55"/>
      <c r="Q97" s="55"/>
      <c r="R97" s="55"/>
      <c r="S97" s="55"/>
      <c r="T97" s="55"/>
      <c r="U97" s="55"/>
      <c r="V97" s="55"/>
      <c r="W97" s="55"/>
      <c r="X97" s="53"/>
      <c r="Y97" s="53"/>
      <c r="Z97" s="53"/>
      <c r="AA97" s="53"/>
      <c r="AB97" s="55"/>
      <c r="AC97" s="55"/>
      <c r="AD97" s="55"/>
      <c r="AE97" s="55"/>
      <c r="AF97" s="55"/>
      <c r="AG97" s="55"/>
      <c r="AH97" s="55"/>
      <c r="AI97" s="55"/>
      <c r="AJ97" s="55"/>
      <c r="AK97" s="3"/>
      <c r="AL97" s="3"/>
      <c r="AM97" s="3"/>
      <c r="AN97" s="3"/>
      <c r="AO97" s="3"/>
    </row>
    <row r="98" spans="1:41" ht="15">
      <c r="A98" s="4"/>
      <c r="B98" s="4"/>
      <c r="C98" s="55"/>
      <c r="D98" s="55"/>
      <c r="E98" s="55"/>
      <c r="F98" s="55"/>
      <c r="G98" s="55"/>
      <c r="H98" s="55"/>
      <c r="I98" s="55"/>
      <c r="J98" s="55"/>
      <c r="K98" s="55"/>
      <c r="L98" s="55"/>
      <c r="M98" s="55"/>
      <c r="N98" s="55"/>
      <c r="O98" s="55"/>
      <c r="P98" s="55"/>
      <c r="Q98" s="55"/>
      <c r="R98" s="55"/>
      <c r="S98" s="55"/>
      <c r="T98" s="55"/>
      <c r="U98" s="55"/>
      <c r="V98" s="55"/>
      <c r="W98" s="55"/>
      <c r="X98" s="53"/>
      <c r="Y98" s="53"/>
      <c r="Z98" s="53"/>
      <c r="AA98" s="53"/>
      <c r="AB98" s="55"/>
      <c r="AC98" s="55"/>
      <c r="AD98" s="55"/>
      <c r="AE98" s="55"/>
      <c r="AF98" s="55"/>
      <c r="AG98" s="55"/>
      <c r="AH98" s="55"/>
      <c r="AI98" s="55"/>
      <c r="AJ98" s="55"/>
      <c r="AK98" s="3"/>
      <c r="AL98" s="3"/>
      <c r="AM98" s="3"/>
      <c r="AN98" s="3"/>
      <c r="AO98" s="3"/>
    </row>
    <row r="99" spans="1:41" ht="15">
      <c r="A99" s="4"/>
      <c r="B99" s="4"/>
      <c r="C99" s="55"/>
      <c r="D99" s="55"/>
      <c r="E99" s="55"/>
      <c r="F99" s="55"/>
      <c r="G99" s="55"/>
      <c r="H99" s="55"/>
      <c r="I99" s="55"/>
      <c r="J99" s="55"/>
      <c r="K99" s="55"/>
      <c r="L99" s="55"/>
      <c r="M99" s="55"/>
      <c r="N99" s="55"/>
      <c r="O99" s="55"/>
      <c r="P99" s="55"/>
      <c r="Q99" s="55"/>
      <c r="R99" s="55"/>
      <c r="S99" s="55"/>
      <c r="T99" s="55"/>
      <c r="U99" s="55"/>
      <c r="V99" s="55"/>
      <c r="W99" s="55"/>
      <c r="X99" s="53"/>
      <c r="Y99" s="53"/>
      <c r="Z99" s="53"/>
      <c r="AA99" s="53"/>
      <c r="AB99" s="55"/>
      <c r="AC99" s="55"/>
      <c r="AD99" s="55"/>
      <c r="AE99" s="55"/>
      <c r="AF99" s="55"/>
      <c r="AG99" s="55"/>
      <c r="AH99" s="55"/>
      <c r="AI99" s="55"/>
      <c r="AJ99" s="55"/>
      <c r="AK99" s="3"/>
      <c r="AL99" s="3"/>
      <c r="AM99" s="3"/>
      <c r="AN99" s="3"/>
      <c r="AO99" s="3"/>
    </row>
    <row r="100" spans="1:41" ht="15">
      <c r="A100" s="4"/>
      <c r="B100" s="4"/>
      <c r="C100" s="55"/>
      <c r="D100" s="55"/>
      <c r="E100" s="55"/>
      <c r="F100" s="55"/>
      <c r="G100" s="55"/>
      <c r="H100" s="55"/>
      <c r="I100" s="55"/>
      <c r="J100" s="55"/>
      <c r="K100" s="55"/>
      <c r="L100" s="55"/>
      <c r="M100" s="55"/>
      <c r="N100" s="55"/>
      <c r="O100" s="55"/>
      <c r="P100" s="55"/>
      <c r="Q100" s="55"/>
      <c r="R100" s="55"/>
      <c r="S100" s="55"/>
      <c r="T100" s="55"/>
      <c r="U100" s="55"/>
      <c r="V100" s="55"/>
      <c r="W100" s="55"/>
      <c r="X100" s="53"/>
      <c r="Y100" s="53"/>
      <c r="Z100" s="53"/>
      <c r="AA100" s="53"/>
      <c r="AB100" s="55"/>
      <c r="AC100" s="55"/>
      <c r="AD100" s="55"/>
      <c r="AE100" s="55"/>
      <c r="AF100" s="55"/>
      <c r="AG100" s="55"/>
      <c r="AH100" s="55"/>
      <c r="AI100" s="55"/>
      <c r="AJ100" s="55"/>
      <c r="AK100" s="3"/>
      <c r="AL100" s="3"/>
      <c r="AM100" s="3"/>
      <c r="AN100" s="3"/>
      <c r="AO100" s="3"/>
    </row>
    <row r="101" spans="1:41" ht="15">
      <c r="A101" s="4"/>
      <c r="B101" s="4"/>
      <c r="C101" s="55"/>
      <c r="D101" s="55"/>
      <c r="E101" s="55"/>
      <c r="F101" s="55"/>
      <c r="G101" s="55"/>
      <c r="H101" s="55"/>
      <c r="I101" s="55"/>
      <c r="J101" s="55"/>
      <c r="K101" s="55"/>
      <c r="L101" s="55"/>
      <c r="M101" s="55"/>
      <c r="N101" s="55"/>
      <c r="O101" s="55"/>
      <c r="P101" s="55"/>
      <c r="Q101" s="55"/>
      <c r="R101" s="55"/>
      <c r="S101" s="55"/>
      <c r="T101" s="55"/>
      <c r="U101" s="55"/>
      <c r="V101" s="55"/>
      <c r="W101" s="55"/>
      <c r="X101" s="53"/>
      <c r="Y101" s="53"/>
      <c r="Z101" s="53"/>
      <c r="AA101" s="53"/>
      <c r="AB101" s="55"/>
      <c r="AC101" s="55"/>
      <c r="AD101" s="55"/>
      <c r="AE101" s="55"/>
      <c r="AF101" s="55"/>
      <c r="AG101" s="55"/>
      <c r="AH101" s="55"/>
      <c r="AI101" s="55"/>
      <c r="AJ101" s="55"/>
      <c r="AK101" s="3"/>
      <c r="AL101" s="3"/>
      <c r="AM101" s="3"/>
      <c r="AN101" s="3"/>
      <c r="AO101" s="3"/>
    </row>
    <row r="102" spans="1:41" ht="15">
      <c r="A102" s="4"/>
      <c r="B102" s="4"/>
      <c r="C102" s="55"/>
      <c r="D102" s="55"/>
      <c r="E102" s="55"/>
      <c r="F102" s="55"/>
      <c r="G102" s="55"/>
      <c r="H102" s="55"/>
      <c r="I102" s="55"/>
      <c r="J102" s="55"/>
      <c r="K102" s="55"/>
      <c r="L102" s="55"/>
      <c r="M102" s="55"/>
      <c r="N102" s="55"/>
      <c r="O102" s="55"/>
      <c r="P102" s="55"/>
      <c r="Q102" s="55"/>
      <c r="R102" s="55"/>
      <c r="S102" s="55"/>
      <c r="T102" s="55"/>
      <c r="U102" s="55"/>
      <c r="V102" s="55"/>
      <c r="W102" s="55"/>
      <c r="X102" s="53"/>
      <c r="Y102" s="53"/>
      <c r="Z102" s="53"/>
      <c r="AA102" s="53"/>
      <c r="AB102" s="55"/>
      <c r="AC102" s="55"/>
      <c r="AD102" s="55"/>
      <c r="AE102" s="55"/>
      <c r="AF102" s="55"/>
      <c r="AG102" s="55"/>
      <c r="AH102" s="55"/>
      <c r="AI102" s="55"/>
      <c r="AJ102" s="55"/>
      <c r="AK102" s="3"/>
      <c r="AL102" s="3"/>
      <c r="AM102" s="3"/>
      <c r="AN102" s="3"/>
      <c r="AO102" s="3"/>
    </row>
    <row r="103" spans="1:41" ht="15">
      <c r="A103" s="4"/>
      <c r="B103" s="4"/>
      <c r="C103" s="55"/>
      <c r="D103" s="55"/>
      <c r="E103" s="55"/>
      <c r="F103" s="55"/>
      <c r="G103" s="55"/>
      <c r="H103" s="55"/>
      <c r="I103" s="55"/>
      <c r="J103" s="55"/>
      <c r="K103" s="55"/>
      <c r="L103" s="55"/>
      <c r="M103" s="55"/>
      <c r="N103" s="55"/>
      <c r="O103" s="55"/>
      <c r="P103" s="55"/>
      <c r="Q103" s="55"/>
      <c r="R103" s="55"/>
      <c r="S103" s="55"/>
      <c r="T103" s="55"/>
      <c r="U103" s="55"/>
      <c r="V103" s="55"/>
      <c r="W103" s="55"/>
      <c r="X103" s="53"/>
      <c r="Y103" s="53"/>
      <c r="Z103" s="53"/>
      <c r="AA103" s="53"/>
      <c r="AB103" s="55"/>
      <c r="AC103" s="55"/>
      <c r="AD103" s="55"/>
      <c r="AE103" s="55"/>
      <c r="AF103" s="55"/>
      <c r="AG103" s="55"/>
      <c r="AH103" s="55"/>
      <c r="AI103" s="55"/>
      <c r="AJ103" s="55"/>
      <c r="AK103" s="3"/>
      <c r="AL103" s="3"/>
      <c r="AM103" s="3"/>
      <c r="AN103" s="3"/>
      <c r="AO103" s="3"/>
    </row>
    <row r="104" spans="1:41" ht="15">
      <c r="A104" s="4"/>
      <c r="B104" s="4"/>
      <c r="C104" s="55"/>
      <c r="D104" s="55"/>
      <c r="E104" s="55"/>
      <c r="F104" s="55"/>
      <c r="G104" s="55"/>
      <c r="H104" s="55"/>
      <c r="I104" s="55"/>
      <c r="J104" s="55"/>
      <c r="K104" s="55"/>
      <c r="L104" s="55"/>
      <c r="M104" s="55"/>
      <c r="N104" s="55"/>
      <c r="O104" s="55"/>
      <c r="P104" s="55"/>
      <c r="Q104" s="55"/>
      <c r="R104" s="55"/>
      <c r="S104" s="55"/>
      <c r="T104" s="55"/>
      <c r="U104" s="55"/>
      <c r="V104" s="55"/>
      <c r="W104" s="55"/>
      <c r="X104" s="53"/>
      <c r="Y104" s="53"/>
      <c r="Z104" s="53"/>
      <c r="AA104" s="53"/>
      <c r="AB104" s="55"/>
      <c r="AC104" s="55"/>
      <c r="AD104" s="55"/>
      <c r="AE104" s="55"/>
      <c r="AF104" s="55"/>
      <c r="AG104" s="55"/>
      <c r="AH104" s="55"/>
      <c r="AI104" s="55"/>
      <c r="AJ104" s="55"/>
      <c r="AK104" s="3"/>
      <c r="AL104" s="3"/>
      <c r="AM104" s="3"/>
      <c r="AN104" s="3"/>
      <c r="AO104" s="3"/>
    </row>
    <row r="105" spans="1:41" ht="15">
      <c r="A105" s="4"/>
      <c r="B105" s="4"/>
      <c r="C105" s="55"/>
      <c r="D105" s="55"/>
      <c r="E105" s="55"/>
      <c r="F105" s="55"/>
      <c r="G105" s="55"/>
      <c r="H105" s="55"/>
      <c r="I105" s="55"/>
      <c r="J105" s="55"/>
      <c r="K105" s="55"/>
      <c r="L105" s="55"/>
      <c r="M105" s="55"/>
      <c r="N105" s="55"/>
      <c r="O105" s="55"/>
      <c r="P105" s="55"/>
      <c r="Q105" s="55"/>
      <c r="R105" s="55"/>
      <c r="S105" s="55"/>
      <c r="T105" s="55"/>
      <c r="U105" s="55"/>
      <c r="V105" s="55"/>
      <c r="W105" s="55"/>
      <c r="X105" s="53"/>
      <c r="Y105" s="53"/>
      <c r="Z105" s="53"/>
      <c r="AA105" s="53"/>
      <c r="AB105" s="55"/>
      <c r="AC105" s="55"/>
      <c r="AD105" s="55"/>
      <c r="AE105" s="55"/>
      <c r="AF105" s="55"/>
      <c r="AG105" s="55"/>
      <c r="AH105" s="55"/>
      <c r="AI105" s="55"/>
      <c r="AJ105" s="55"/>
      <c r="AK105" s="3"/>
      <c r="AL105" s="3"/>
      <c r="AM105" s="3"/>
      <c r="AN105" s="3"/>
      <c r="AO105" s="3"/>
    </row>
    <row r="106" spans="1:41" ht="15">
      <c r="A106" s="4"/>
      <c r="B106" s="4"/>
      <c r="C106" s="55"/>
      <c r="D106" s="55"/>
      <c r="E106" s="55"/>
      <c r="F106" s="55"/>
      <c r="G106" s="55"/>
      <c r="H106" s="55"/>
      <c r="I106" s="55"/>
      <c r="J106" s="55"/>
      <c r="K106" s="55"/>
      <c r="L106" s="55"/>
      <c r="M106" s="55"/>
      <c r="N106" s="55"/>
      <c r="O106" s="55"/>
      <c r="P106" s="55"/>
      <c r="Q106" s="55"/>
      <c r="R106" s="55"/>
      <c r="S106" s="55"/>
      <c r="T106" s="55"/>
      <c r="U106" s="55"/>
      <c r="V106" s="55"/>
      <c r="W106" s="55"/>
      <c r="X106" s="53"/>
      <c r="Y106" s="53"/>
      <c r="Z106" s="53"/>
      <c r="AA106" s="53"/>
      <c r="AB106" s="55"/>
      <c r="AC106" s="55"/>
      <c r="AD106" s="55"/>
      <c r="AE106" s="55"/>
      <c r="AF106" s="55"/>
      <c r="AG106" s="55"/>
      <c r="AH106" s="55"/>
      <c r="AI106" s="55"/>
      <c r="AJ106" s="55"/>
      <c r="AK106" s="3"/>
      <c r="AL106" s="3"/>
      <c r="AM106" s="3"/>
      <c r="AN106" s="3"/>
      <c r="AO106" s="3"/>
    </row>
    <row r="107" spans="1:41" ht="15">
      <c r="A107" s="4"/>
      <c r="B107" s="4"/>
      <c r="C107" s="55"/>
      <c r="D107" s="55"/>
      <c r="E107" s="55"/>
      <c r="F107" s="55"/>
      <c r="G107" s="55"/>
      <c r="H107" s="55"/>
      <c r="I107" s="55"/>
      <c r="J107" s="55"/>
      <c r="K107" s="55"/>
      <c r="L107" s="55"/>
      <c r="M107" s="55"/>
      <c r="N107" s="55"/>
      <c r="O107" s="55"/>
      <c r="P107" s="55"/>
      <c r="Q107" s="55"/>
      <c r="R107" s="55"/>
      <c r="S107" s="55"/>
      <c r="T107" s="55"/>
      <c r="U107" s="55"/>
      <c r="V107" s="55"/>
      <c r="W107" s="55"/>
      <c r="X107" s="53"/>
      <c r="Y107" s="53"/>
      <c r="Z107" s="53"/>
      <c r="AA107" s="53"/>
      <c r="AB107" s="55"/>
      <c r="AC107" s="55"/>
      <c r="AD107" s="55"/>
      <c r="AE107" s="55"/>
      <c r="AF107" s="55"/>
      <c r="AG107" s="55"/>
      <c r="AH107" s="55"/>
      <c r="AI107" s="55"/>
      <c r="AJ107" s="55"/>
      <c r="AK107" s="3"/>
      <c r="AL107" s="3"/>
      <c r="AM107" s="3"/>
      <c r="AN107" s="3"/>
      <c r="AO107" s="3"/>
    </row>
    <row r="108" spans="1:41" ht="15">
      <c r="A108" s="4"/>
      <c r="B108" s="4"/>
      <c r="C108" s="55"/>
      <c r="D108" s="55"/>
      <c r="E108" s="55"/>
      <c r="F108" s="55"/>
      <c r="G108" s="55"/>
      <c r="H108" s="55"/>
      <c r="I108" s="55"/>
      <c r="J108" s="55"/>
      <c r="K108" s="55"/>
      <c r="L108" s="55"/>
      <c r="M108" s="55"/>
      <c r="N108" s="55"/>
      <c r="O108" s="55"/>
      <c r="P108" s="55"/>
      <c r="Q108" s="55"/>
      <c r="R108" s="55"/>
      <c r="S108" s="55"/>
      <c r="T108" s="55"/>
      <c r="U108" s="55"/>
      <c r="V108" s="55"/>
      <c r="W108" s="55"/>
      <c r="X108" s="53"/>
      <c r="Y108" s="53"/>
      <c r="Z108" s="53"/>
      <c r="AA108" s="53"/>
      <c r="AB108" s="55"/>
      <c r="AC108" s="55"/>
      <c r="AD108" s="55"/>
      <c r="AE108" s="55"/>
      <c r="AF108" s="55"/>
      <c r="AG108" s="55"/>
      <c r="AH108" s="55"/>
      <c r="AI108" s="55"/>
      <c r="AJ108" s="55"/>
      <c r="AK108" s="3"/>
      <c r="AL108" s="3"/>
      <c r="AM108" s="3"/>
      <c r="AN108" s="3"/>
      <c r="AO108" s="3"/>
    </row>
    <row r="109" spans="1:41" ht="15">
      <c r="A109" s="4"/>
      <c r="B109" s="4"/>
      <c r="C109" s="55"/>
      <c r="D109" s="55"/>
      <c r="E109" s="55"/>
      <c r="F109" s="55"/>
      <c r="G109" s="55"/>
      <c r="H109" s="55"/>
      <c r="I109" s="55"/>
      <c r="J109" s="55"/>
      <c r="K109" s="55"/>
      <c r="L109" s="55"/>
      <c r="M109" s="55"/>
      <c r="N109" s="55"/>
      <c r="O109" s="55"/>
      <c r="P109" s="55"/>
      <c r="Q109" s="55"/>
      <c r="R109" s="55"/>
      <c r="S109" s="55"/>
      <c r="T109" s="55"/>
      <c r="U109" s="55"/>
      <c r="V109" s="55"/>
      <c r="W109" s="55"/>
      <c r="X109" s="53"/>
      <c r="Y109" s="53"/>
      <c r="Z109" s="53"/>
      <c r="AA109" s="53"/>
      <c r="AB109" s="55"/>
      <c r="AC109" s="55"/>
      <c r="AD109" s="55"/>
      <c r="AE109" s="55"/>
      <c r="AF109" s="55"/>
      <c r="AG109" s="55"/>
      <c r="AH109" s="55"/>
      <c r="AI109" s="55"/>
      <c r="AJ109" s="55"/>
      <c r="AK109" s="3"/>
      <c r="AL109" s="3"/>
      <c r="AM109" s="3"/>
      <c r="AN109" s="3"/>
      <c r="AO109" s="3"/>
    </row>
    <row r="110" spans="1:41" ht="15">
      <c r="A110" s="4"/>
      <c r="B110" s="4"/>
      <c r="C110" s="55"/>
      <c r="D110" s="55"/>
      <c r="E110" s="55"/>
      <c r="F110" s="55"/>
      <c r="G110" s="55"/>
      <c r="H110" s="55"/>
      <c r="I110" s="55"/>
      <c r="J110" s="55"/>
      <c r="K110" s="55"/>
      <c r="L110" s="55"/>
      <c r="M110" s="55"/>
      <c r="N110" s="55"/>
      <c r="O110" s="55"/>
      <c r="P110" s="55"/>
      <c r="Q110" s="55"/>
      <c r="R110" s="55"/>
      <c r="S110" s="55"/>
      <c r="T110" s="55"/>
      <c r="U110" s="55"/>
      <c r="V110" s="55"/>
      <c r="W110" s="55"/>
      <c r="X110" s="53"/>
      <c r="Y110" s="53"/>
      <c r="Z110" s="53"/>
      <c r="AA110" s="53"/>
      <c r="AB110" s="55"/>
      <c r="AC110" s="55"/>
      <c r="AD110" s="55"/>
      <c r="AE110" s="55"/>
      <c r="AF110" s="55"/>
      <c r="AG110" s="55"/>
      <c r="AH110" s="55"/>
      <c r="AI110" s="55"/>
      <c r="AJ110" s="55"/>
      <c r="AK110" s="3"/>
      <c r="AL110" s="3"/>
      <c r="AM110" s="3"/>
      <c r="AN110" s="3"/>
      <c r="AO110" s="3"/>
    </row>
    <row r="111" spans="1:41" ht="15">
      <c r="A111" s="4"/>
      <c r="B111" s="4"/>
      <c r="C111" s="55"/>
      <c r="D111" s="55"/>
      <c r="E111" s="55"/>
      <c r="F111" s="55"/>
      <c r="G111" s="55"/>
      <c r="H111" s="55"/>
      <c r="I111" s="55"/>
      <c r="J111" s="55"/>
      <c r="K111" s="55"/>
      <c r="L111" s="55"/>
      <c r="M111" s="55"/>
      <c r="N111" s="55"/>
      <c r="O111" s="55"/>
      <c r="P111" s="55"/>
      <c r="Q111" s="55"/>
      <c r="R111" s="55"/>
      <c r="S111" s="55"/>
      <c r="T111" s="55"/>
      <c r="U111" s="55"/>
      <c r="V111" s="55"/>
      <c r="W111" s="55"/>
      <c r="X111" s="53"/>
      <c r="Y111" s="53"/>
      <c r="Z111" s="53"/>
      <c r="AA111" s="53"/>
      <c r="AB111" s="55"/>
      <c r="AC111" s="55"/>
      <c r="AD111" s="55"/>
      <c r="AE111" s="55"/>
      <c r="AF111" s="55"/>
      <c r="AG111" s="55"/>
      <c r="AH111" s="55"/>
      <c r="AI111" s="55"/>
      <c r="AJ111" s="55"/>
      <c r="AK111" s="3"/>
      <c r="AL111" s="3"/>
      <c r="AM111" s="3"/>
      <c r="AN111" s="3"/>
      <c r="AO111" s="3"/>
    </row>
    <row r="112" spans="1:41" ht="15">
      <c r="A112" s="4"/>
      <c r="B112" s="4"/>
      <c r="C112" s="55"/>
      <c r="D112" s="55"/>
      <c r="E112" s="55"/>
      <c r="F112" s="55"/>
      <c r="G112" s="55"/>
      <c r="H112" s="55"/>
      <c r="I112" s="55"/>
      <c r="J112" s="55"/>
      <c r="K112" s="55"/>
      <c r="L112" s="55"/>
      <c r="M112" s="55"/>
      <c r="N112" s="55"/>
      <c r="O112" s="55"/>
      <c r="P112" s="55"/>
      <c r="Q112" s="55"/>
      <c r="R112" s="55"/>
      <c r="S112" s="55"/>
      <c r="T112" s="55"/>
      <c r="U112" s="55"/>
      <c r="V112" s="55"/>
      <c r="W112" s="55"/>
      <c r="X112" s="53"/>
      <c r="Y112" s="53"/>
      <c r="Z112" s="53"/>
      <c r="AA112" s="53"/>
      <c r="AB112" s="55"/>
      <c r="AC112" s="55"/>
      <c r="AD112" s="55"/>
      <c r="AE112" s="55"/>
      <c r="AF112" s="55"/>
      <c r="AG112" s="55"/>
      <c r="AH112" s="55"/>
      <c r="AI112" s="55"/>
      <c r="AJ112" s="55"/>
      <c r="AK112" s="3"/>
      <c r="AL112" s="3"/>
      <c r="AM112" s="3"/>
      <c r="AN112" s="3"/>
      <c r="AO112" s="3"/>
    </row>
    <row r="113" spans="1:41" ht="15">
      <c r="A113" s="4"/>
      <c r="B113" s="4"/>
      <c r="C113" s="55"/>
      <c r="D113" s="55"/>
      <c r="E113" s="55"/>
      <c r="F113" s="55"/>
      <c r="G113" s="55"/>
      <c r="H113" s="55"/>
      <c r="I113" s="55"/>
      <c r="J113" s="55"/>
      <c r="K113" s="55"/>
      <c r="L113" s="55"/>
      <c r="M113" s="55"/>
      <c r="N113" s="55"/>
      <c r="O113" s="55"/>
      <c r="P113" s="55"/>
      <c r="Q113" s="55"/>
      <c r="R113" s="55"/>
      <c r="S113" s="55"/>
      <c r="T113" s="55"/>
      <c r="U113" s="55"/>
      <c r="V113" s="55"/>
      <c r="W113" s="55"/>
      <c r="X113" s="53"/>
      <c r="Y113" s="53"/>
      <c r="Z113" s="53"/>
      <c r="AA113" s="53"/>
      <c r="AB113" s="55"/>
      <c r="AC113" s="55"/>
      <c r="AD113" s="55"/>
      <c r="AE113" s="55"/>
      <c r="AF113" s="55"/>
      <c r="AG113" s="55"/>
      <c r="AH113" s="55"/>
      <c r="AI113" s="55"/>
      <c r="AJ113" s="55"/>
      <c r="AK113" s="3"/>
      <c r="AL113" s="3"/>
      <c r="AM113" s="3"/>
      <c r="AN113" s="3"/>
      <c r="AO113" s="3"/>
    </row>
    <row r="114" spans="1:41" ht="15">
      <c r="A114" s="4"/>
      <c r="B114" s="4"/>
      <c r="C114" s="55"/>
      <c r="D114" s="55"/>
      <c r="E114" s="55"/>
      <c r="F114" s="55"/>
      <c r="G114" s="55"/>
      <c r="H114" s="55"/>
      <c r="I114" s="55"/>
      <c r="J114" s="55"/>
      <c r="K114" s="55"/>
      <c r="L114" s="55"/>
      <c r="M114" s="55"/>
      <c r="N114" s="55"/>
      <c r="O114" s="55"/>
      <c r="P114" s="55"/>
      <c r="Q114" s="55"/>
      <c r="R114" s="55"/>
      <c r="S114" s="55"/>
      <c r="T114" s="55"/>
      <c r="U114" s="55"/>
      <c r="V114" s="55"/>
      <c r="W114" s="55"/>
      <c r="X114" s="53"/>
      <c r="Y114" s="53"/>
      <c r="Z114" s="53"/>
      <c r="AA114" s="53"/>
      <c r="AB114" s="55"/>
      <c r="AC114" s="55"/>
      <c r="AD114" s="55"/>
      <c r="AE114" s="55"/>
      <c r="AF114" s="55"/>
      <c r="AG114" s="55"/>
      <c r="AH114" s="55"/>
      <c r="AI114" s="55"/>
      <c r="AJ114" s="55"/>
      <c r="AK114" s="3"/>
      <c r="AL114" s="3"/>
      <c r="AM114" s="3"/>
      <c r="AN114" s="3"/>
      <c r="AO114" s="3"/>
    </row>
    <row r="115" spans="1:41" ht="15">
      <c r="A115" s="4"/>
      <c r="B115" s="4"/>
      <c r="C115" s="55"/>
      <c r="D115" s="55"/>
      <c r="E115" s="55"/>
      <c r="F115" s="55"/>
      <c r="G115" s="55"/>
      <c r="H115" s="55"/>
      <c r="I115" s="55"/>
      <c r="J115" s="55"/>
      <c r="K115" s="55"/>
      <c r="L115" s="55"/>
      <c r="M115" s="55"/>
      <c r="N115" s="55"/>
      <c r="O115" s="55"/>
      <c r="P115" s="55"/>
      <c r="Q115" s="55"/>
      <c r="R115" s="55"/>
      <c r="S115" s="55"/>
      <c r="T115" s="55"/>
      <c r="U115" s="55"/>
      <c r="V115" s="55"/>
      <c r="W115" s="55"/>
      <c r="X115" s="53"/>
      <c r="Y115" s="53"/>
      <c r="Z115" s="53"/>
      <c r="AA115" s="53"/>
      <c r="AB115" s="55"/>
      <c r="AC115" s="55"/>
      <c r="AD115" s="55"/>
      <c r="AE115" s="55"/>
      <c r="AF115" s="55"/>
      <c r="AG115" s="55"/>
      <c r="AH115" s="55"/>
      <c r="AI115" s="55"/>
      <c r="AJ115" s="55"/>
      <c r="AK115" s="3"/>
      <c r="AL115" s="3"/>
      <c r="AM115" s="3"/>
      <c r="AN115" s="3"/>
      <c r="AO115" s="3"/>
    </row>
    <row r="116" spans="1:41" ht="15">
      <c r="A116" s="4"/>
      <c r="B116" s="4"/>
      <c r="C116" s="55"/>
      <c r="D116" s="55"/>
      <c r="E116" s="55"/>
      <c r="F116" s="55"/>
      <c r="G116" s="55"/>
      <c r="H116" s="55"/>
      <c r="I116" s="55"/>
      <c r="J116" s="55"/>
      <c r="K116" s="55"/>
      <c r="L116" s="55"/>
      <c r="M116" s="55"/>
      <c r="N116" s="55"/>
      <c r="O116" s="55"/>
      <c r="P116" s="55"/>
      <c r="Q116" s="55"/>
      <c r="R116" s="55"/>
      <c r="S116" s="55"/>
      <c r="T116" s="55"/>
      <c r="U116" s="55"/>
      <c r="V116" s="55"/>
      <c r="W116" s="55"/>
      <c r="X116" s="53"/>
      <c r="Y116" s="53"/>
      <c r="Z116" s="53"/>
      <c r="AA116" s="53"/>
      <c r="AB116" s="55"/>
      <c r="AC116" s="55"/>
      <c r="AD116" s="55"/>
      <c r="AE116" s="55"/>
      <c r="AF116" s="55"/>
      <c r="AG116" s="55"/>
      <c r="AH116" s="55"/>
      <c r="AI116" s="55"/>
      <c r="AJ116" s="55"/>
      <c r="AK116" s="3"/>
      <c r="AL116" s="3"/>
      <c r="AM116" s="3"/>
      <c r="AN116" s="3"/>
      <c r="AO116" s="3"/>
    </row>
    <row r="117" spans="1:36" ht="12.75">
      <c r="A117" s="4"/>
      <c r="B117" s="4"/>
      <c r="C117" s="4"/>
      <c r="D117" s="4"/>
      <c r="E117" s="4"/>
      <c r="F117" s="4"/>
      <c r="G117" s="4"/>
      <c r="H117" s="4"/>
      <c r="I117" s="4"/>
      <c r="J117" s="4"/>
      <c r="K117" s="4"/>
      <c r="L117" s="4"/>
      <c r="M117" s="4"/>
      <c r="N117" s="4"/>
      <c r="O117" s="4"/>
      <c r="P117" s="4"/>
      <c r="Q117" s="4"/>
      <c r="R117" s="4"/>
      <c r="S117" s="4"/>
      <c r="T117" s="4"/>
      <c r="U117" s="4"/>
      <c r="V117" s="4"/>
      <c r="W117" s="4"/>
      <c r="X117" s="26"/>
      <c r="Y117" s="26"/>
      <c r="Z117" s="26"/>
      <c r="AA117" s="26"/>
      <c r="AB117" s="4"/>
      <c r="AC117" s="4"/>
      <c r="AD117" s="4"/>
      <c r="AE117" s="4"/>
      <c r="AF117" s="4"/>
      <c r="AG117" s="4"/>
      <c r="AH117" s="4"/>
      <c r="AI117" s="4"/>
      <c r="AJ117" s="4"/>
    </row>
  </sheetData>
  <sheetProtection password="CE3F" sheet="1" selectLockedCells="1" selectUnlockedCells="1"/>
  <mergeCells count="19">
    <mergeCell ref="W45:AB46"/>
    <mergeCell ref="M52:O52"/>
    <mergeCell ref="Q52:S52"/>
    <mergeCell ref="M7:O7"/>
    <mergeCell ref="M8:O8"/>
    <mergeCell ref="Q7:S7"/>
    <mergeCell ref="Q8:S8"/>
    <mergeCell ref="M51:O51"/>
    <mergeCell ref="Q51:S51"/>
    <mergeCell ref="E50:G50"/>
    <mergeCell ref="D5:O5"/>
    <mergeCell ref="E6:G6"/>
    <mergeCell ref="W3:Z3"/>
    <mergeCell ref="C47:I47"/>
    <mergeCell ref="C48:I48"/>
    <mergeCell ref="C49:I49"/>
    <mergeCell ref="D3:O3"/>
    <mergeCell ref="D4:O4"/>
    <mergeCell ref="W4:Z7"/>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AA124"/>
  <sheetViews>
    <sheetView zoomScalePageLayoutView="0" workbookViewId="0" topLeftCell="A1">
      <selection activeCell="A1" sqref="A1"/>
    </sheetView>
  </sheetViews>
  <sheetFormatPr defaultColWidth="9.140625" defaultRowHeight="12.75"/>
  <cols>
    <col min="1" max="2" width="2.57421875" style="0" customWidth="1"/>
    <col min="3" max="3" width="3.00390625" style="0" customWidth="1"/>
    <col min="4" max="4" width="32.7109375" style="0" customWidth="1"/>
    <col min="5" max="5" width="11.57421875" style="0" customWidth="1"/>
    <col min="6" max="6" width="3.140625" style="0" customWidth="1"/>
    <col min="7" max="7" width="7.140625" style="0" customWidth="1"/>
    <col min="8" max="8" width="4.00390625" style="0" customWidth="1"/>
    <col min="9" max="9" width="10.8515625" style="0" customWidth="1"/>
    <col min="10" max="10" width="2.57421875" style="0" customWidth="1"/>
    <col min="11" max="11" width="7.8515625" style="0" customWidth="1"/>
    <col min="12" max="12" width="3.7109375" style="0" customWidth="1"/>
    <col min="13" max="13" width="10.8515625" style="0" customWidth="1"/>
    <col min="14" max="14" width="2.57421875" style="0" customWidth="1"/>
    <col min="15" max="15" width="8.8515625" style="0" customWidth="1"/>
    <col min="16" max="16" width="2.28125" style="0" customWidth="1"/>
    <col min="17" max="17" width="3.00390625" style="0" customWidth="1"/>
    <col min="18" max="18" width="2.57421875" style="0" customWidth="1"/>
  </cols>
  <sheetData>
    <row r="1" spans="1:27" ht="12.75">
      <c r="A1" s="4"/>
      <c r="B1" s="4"/>
      <c r="C1" s="5"/>
      <c r="D1" s="4"/>
      <c r="E1" s="4"/>
      <c r="F1" s="4"/>
      <c r="G1" s="4"/>
      <c r="H1" s="4"/>
      <c r="I1" s="4"/>
      <c r="J1" s="4"/>
      <c r="K1" s="4"/>
      <c r="L1" s="4"/>
      <c r="M1" s="4"/>
      <c r="N1" s="4"/>
      <c r="O1" s="4"/>
      <c r="P1" s="4"/>
      <c r="Q1" s="4"/>
      <c r="R1" s="4"/>
      <c r="S1" s="4"/>
      <c r="T1" s="4"/>
      <c r="U1" s="4"/>
      <c r="V1" s="4"/>
      <c r="W1" s="4"/>
      <c r="X1" s="4"/>
      <c r="Y1" s="4"/>
      <c r="Z1" s="4"/>
      <c r="AA1" s="4"/>
    </row>
    <row r="2" spans="1:27" ht="12.75">
      <c r="A2" s="4"/>
      <c r="B2" s="12"/>
      <c r="C2" s="21"/>
      <c r="D2" s="12"/>
      <c r="E2" s="12"/>
      <c r="F2" s="12"/>
      <c r="G2" s="12"/>
      <c r="H2" s="12"/>
      <c r="I2" s="12"/>
      <c r="J2" s="12"/>
      <c r="K2" s="12"/>
      <c r="L2" s="12"/>
      <c r="M2" s="12"/>
      <c r="N2" s="12"/>
      <c r="O2" s="12"/>
      <c r="P2" s="12"/>
      <c r="Q2" s="12"/>
      <c r="R2" s="4"/>
      <c r="S2" s="4"/>
      <c r="T2" s="4"/>
      <c r="U2" s="4"/>
      <c r="V2" s="4"/>
      <c r="W2" s="4"/>
      <c r="X2" s="4"/>
      <c r="Y2" s="4"/>
      <c r="Z2" s="4"/>
      <c r="AA2" s="4"/>
    </row>
    <row r="3" spans="1:27" ht="12.75">
      <c r="A3" s="4"/>
      <c r="B3" s="12"/>
      <c r="C3" s="94"/>
      <c r="D3" s="491" t="s">
        <v>54</v>
      </c>
      <c r="E3" s="492"/>
      <c r="F3" s="492"/>
      <c r="G3" s="492"/>
      <c r="H3" s="492"/>
      <c r="I3" s="492"/>
      <c r="J3" s="492"/>
      <c r="K3" s="492"/>
      <c r="L3" s="492"/>
      <c r="M3" s="492"/>
      <c r="N3" s="4"/>
      <c r="O3" s="386"/>
      <c r="P3" s="17"/>
      <c r="Q3" s="47"/>
      <c r="R3" s="16"/>
      <c r="S3" s="4"/>
      <c r="T3" s="4"/>
      <c r="U3" s="4"/>
      <c r="V3" s="4"/>
      <c r="W3" s="4"/>
      <c r="X3" s="4"/>
      <c r="Y3" s="4"/>
      <c r="Z3" s="4"/>
      <c r="AA3" s="4"/>
    </row>
    <row r="4" spans="1:27" ht="12.75">
      <c r="A4" s="4"/>
      <c r="B4" s="12"/>
      <c r="C4" s="94"/>
      <c r="D4" s="491" t="s">
        <v>3</v>
      </c>
      <c r="E4" s="492"/>
      <c r="F4" s="492"/>
      <c r="G4" s="492"/>
      <c r="H4" s="492"/>
      <c r="I4" s="492"/>
      <c r="J4" s="492"/>
      <c r="K4" s="492"/>
      <c r="L4" s="492"/>
      <c r="M4" s="492"/>
      <c r="N4" s="100"/>
      <c r="O4" s="100"/>
      <c r="P4" s="17"/>
      <c r="Q4" s="47"/>
      <c r="R4" s="16"/>
      <c r="S4" s="4"/>
      <c r="T4" s="4"/>
      <c r="U4" s="4"/>
      <c r="V4" s="4"/>
      <c r="W4" s="4"/>
      <c r="X4" s="4"/>
      <c r="Y4" s="4"/>
      <c r="Z4" s="4"/>
      <c r="AA4" s="4"/>
    </row>
    <row r="5" spans="1:27" ht="12.75">
      <c r="A5" s="4"/>
      <c r="B5" s="12"/>
      <c r="C5" s="94"/>
      <c r="D5" s="493" t="s">
        <v>62</v>
      </c>
      <c r="E5" s="492"/>
      <c r="F5" s="492"/>
      <c r="G5" s="492"/>
      <c r="H5" s="492"/>
      <c r="I5" s="492"/>
      <c r="J5" s="492"/>
      <c r="K5" s="492"/>
      <c r="L5" s="492"/>
      <c r="M5" s="492"/>
      <c r="N5" s="100"/>
      <c r="O5" s="100"/>
      <c r="P5" s="17"/>
      <c r="Q5" s="47"/>
      <c r="R5" s="16"/>
      <c r="S5" s="4"/>
      <c r="T5" s="4"/>
      <c r="U5" s="4"/>
      <c r="V5" s="4"/>
      <c r="W5" s="4"/>
      <c r="X5" s="4"/>
      <c r="Y5" s="4"/>
      <c r="Z5" s="4"/>
      <c r="AA5" s="4"/>
    </row>
    <row r="6" spans="1:27" ht="12.75">
      <c r="A6" s="4"/>
      <c r="B6" s="12"/>
      <c r="C6" s="94"/>
      <c r="D6" s="157"/>
      <c r="E6" s="100"/>
      <c r="F6" s="100"/>
      <c r="G6" s="100"/>
      <c r="H6" s="100"/>
      <c r="I6" s="100"/>
      <c r="J6" s="100"/>
      <c r="K6" s="100"/>
      <c r="L6" s="100"/>
      <c r="M6" s="100"/>
      <c r="N6" s="100"/>
      <c r="O6" s="100"/>
      <c r="P6" s="17"/>
      <c r="Q6" s="47"/>
      <c r="R6" s="16"/>
      <c r="S6" s="4"/>
      <c r="T6" s="4"/>
      <c r="U6" s="4"/>
      <c r="V6" s="4"/>
      <c r="W6" s="4"/>
      <c r="X6" s="4"/>
      <c r="Y6" s="4"/>
      <c r="Z6" s="4"/>
      <c r="AA6" s="4"/>
    </row>
    <row r="7" spans="1:27" ht="12.75">
      <c r="A7" s="4"/>
      <c r="B7" s="12"/>
      <c r="C7" s="94"/>
      <c r="D7" s="94"/>
      <c r="E7" s="489"/>
      <c r="F7" s="490"/>
      <c r="G7" s="490"/>
      <c r="H7" s="490"/>
      <c r="I7" s="489"/>
      <c r="J7" s="149"/>
      <c r="K7" s="149"/>
      <c r="L7" s="149"/>
      <c r="M7" s="149"/>
      <c r="N7" s="149"/>
      <c r="O7" s="149"/>
      <c r="P7" s="9"/>
      <c r="Q7" s="43"/>
      <c r="R7" s="22"/>
      <c r="S7" s="4"/>
      <c r="T7" s="4"/>
      <c r="U7" s="4"/>
      <c r="V7" s="4"/>
      <c r="W7" s="4"/>
      <c r="X7" s="4"/>
      <c r="Y7" s="4"/>
      <c r="Z7" s="4"/>
      <c r="AA7" s="4"/>
    </row>
    <row r="8" spans="1:27" ht="12.75">
      <c r="A8" s="4"/>
      <c r="B8" s="12"/>
      <c r="C8" s="94"/>
      <c r="D8" s="94"/>
      <c r="E8" s="104" t="s">
        <v>22</v>
      </c>
      <c r="F8" s="159"/>
      <c r="G8" s="159"/>
      <c r="H8" s="159"/>
      <c r="I8" s="104" t="s">
        <v>12</v>
      </c>
      <c r="J8" s="159"/>
      <c r="K8" s="159"/>
      <c r="L8" s="159"/>
      <c r="M8" s="104" t="s">
        <v>53</v>
      </c>
      <c r="N8" s="159"/>
      <c r="O8" s="159"/>
      <c r="P8" s="22"/>
      <c r="Q8" s="44"/>
      <c r="R8" s="22"/>
      <c r="S8" s="4"/>
      <c r="T8" s="4"/>
      <c r="U8" s="4"/>
      <c r="V8" s="4"/>
      <c r="W8" s="4"/>
      <c r="X8" s="4"/>
      <c r="Y8" s="4"/>
      <c r="Z8" s="4"/>
      <c r="AA8" s="4"/>
    </row>
    <row r="9" spans="1:27" ht="12.75">
      <c r="A9" s="4"/>
      <c r="B9" s="12"/>
      <c r="C9" s="94"/>
      <c r="D9" s="93" t="s">
        <v>64</v>
      </c>
      <c r="E9" s="94"/>
      <c r="F9" s="94"/>
      <c r="G9" s="94"/>
      <c r="H9" s="94"/>
      <c r="I9" s="94"/>
      <c r="J9" s="94"/>
      <c r="K9" s="94"/>
      <c r="L9" s="94"/>
      <c r="M9" s="94"/>
      <c r="N9" s="94"/>
      <c r="O9" s="94"/>
      <c r="P9" s="23"/>
      <c r="Q9" s="49"/>
      <c r="R9" s="23"/>
      <c r="S9" s="4"/>
      <c r="T9" s="4"/>
      <c r="U9" s="4"/>
      <c r="V9" s="4"/>
      <c r="W9" s="4"/>
      <c r="X9" s="4"/>
      <c r="Y9" s="4"/>
      <c r="Z9" s="4"/>
      <c r="AA9" s="4"/>
    </row>
    <row r="10" spans="1:27" ht="12.75">
      <c r="A10" s="4"/>
      <c r="B10" s="12"/>
      <c r="C10" s="94"/>
      <c r="D10" s="94" t="s">
        <v>65</v>
      </c>
      <c r="E10" s="161">
        <f>IncomeStatements!D10</f>
        <v>5083000</v>
      </c>
      <c r="F10" s="161"/>
      <c r="G10" s="210">
        <f>E10/$E$10</f>
        <v>1</v>
      </c>
      <c r="H10" s="161"/>
      <c r="I10" s="161">
        <f>IncomeStatements!F10</f>
        <v>5980000</v>
      </c>
      <c r="J10" s="161"/>
      <c r="K10" s="210">
        <f>I10/$I$10</f>
        <v>1</v>
      </c>
      <c r="L10" s="161"/>
      <c r="M10" s="161">
        <f>IncomeStatements!H10</f>
        <v>4485000</v>
      </c>
      <c r="N10" s="161"/>
      <c r="O10" s="210">
        <f>M10/$M$10</f>
        <v>1</v>
      </c>
      <c r="P10" s="24"/>
      <c r="Q10" s="60"/>
      <c r="R10" s="23"/>
      <c r="S10" s="4"/>
      <c r="T10" s="4"/>
      <c r="U10" s="4"/>
      <c r="V10" s="4"/>
      <c r="W10" s="4"/>
      <c r="X10" s="4"/>
      <c r="Y10" s="4"/>
      <c r="Z10" s="4"/>
      <c r="AA10" s="4"/>
    </row>
    <row r="11" spans="1:27" ht="12.75">
      <c r="A11" s="4"/>
      <c r="B11" s="12"/>
      <c r="C11" s="94"/>
      <c r="D11" s="94" t="s">
        <v>55</v>
      </c>
      <c r="E11" s="167">
        <f>IncomeStatements!D11</f>
        <v>3711600</v>
      </c>
      <c r="F11" s="161"/>
      <c r="G11" s="468">
        <f aca="true" t="shared" si="0" ref="G11:G44">E11/$E$10</f>
        <v>0.7301987015542003</v>
      </c>
      <c r="H11" s="165"/>
      <c r="I11" s="167">
        <f>IncomeStatements!F11</f>
        <v>4342000</v>
      </c>
      <c r="J11" s="165"/>
      <c r="K11" s="468">
        <f>I11/$I$10</f>
        <v>0.7260869565217392</v>
      </c>
      <c r="L11" s="161"/>
      <c r="M11" s="167">
        <f>IncomeStatements!H11</f>
        <v>3294000</v>
      </c>
      <c r="N11" s="165"/>
      <c r="O11" s="468">
        <f>M11/$M$10</f>
        <v>0.7344481605351171</v>
      </c>
      <c r="P11" s="23"/>
      <c r="Q11" s="49"/>
      <c r="R11" s="23"/>
      <c r="S11" s="4"/>
      <c r="T11" s="4"/>
      <c r="U11" s="4"/>
      <c r="V11" s="4"/>
      <c r="W11" s="4"/>
      <c r="X11" s="4"/>
      <c r="Y11" s="4"/>
      <c r="Z11" s="4"/>
      <c r="AA11" s="4"/>
    </row>
    <row r="12" spans="1:27" ht="12.75">
      <c r="A12" s="4"/>
      <c r="B12" s="12"/>
      <c r="C12" s="94"/>
      <c r="D12" s="94" t="s">
        <v>66</v>
      </c>
      <c r="E12" s="161">
        <f>E10-E11</f>
        <v>1371400</v>
      </c>
      <c r="F12" s="161"/>
      <c r="G12" s="210">
        <f t="shared" si="0"/>
        <v>0.2698012984457997</v>
      </c>
      <c r="H12" s="161"/>
      <c r="I12" s="161">
        <f>I10-I11</f>
        <v>1638000</v>
      </c>
      <c r="J12" s="161"/>
      <c r="K12" s="210">
        <f>I12/$I$10</f>
        <v>0.27391304347826084</v>
      </c>
      <c r="L12" s="161"/>
      <c r="M12" s="161">
        <f>M10-M11</f>
        <v>1191000</v>
      </c>
      <c r="N12" s="161"/>
      <c r="O12" s="210">
        <f>M12/$M$10</f>
        <v>0.2655518394648829</v>
      </c>
      <c r="P12" s="26"/>
      <c r="Q12" s="51"/>
      <c r="R12" s="23"/>
      <c r="S12" s="4"/>
      <c r="T12" s="4"/>
      <c r="U12" s="4"/>
      <c r="V12" s="4"/>
      <c r="W12" s="4"/>
      <c r="X12" s="4"/>
      <c r="Y12" s="4"/>
      <c r="Z12" s="4"/>
      <c r="AA12" s="4"/>
    </row>
    <row r="13" spans="1:27" ht="12.75">
      <c r="A13" s="4"/>
      <c r="B13" s="12"/>
      <c r="C13" s="94"/>
      <c r="D13" s="94"/>
      <c r="E13" s="106"/>
      <c r="F13" s="106"/>
      <c r="G13" s="161"/>
      <c r="H13" s="106"/>
      <c r="I13" s="106"/>
      <c r="J13" s="106"/>
      <c r="K13" s="106"/>
      <c r="L13" s="106"/>
      <c r="M13" s="106"/>
      <c r="N13" s="106"/>
      <c r="O13" s="106"/>
      <c r="P13" s="26"/>
      <c r="Q13" s="51"/>
      <c r="R13" s="23"/>
      <c r="S13" s="4"/>
      <c r="T13" s="4"/>
      <c r="U13" s="4"/>
      <c r="V13" s="4"/>
      <c r="W13" s="4"/>
      <c r="X13" s="4"/>
      <c r="Y13" s="4"/>
      <c r="Z13" s="4"/>
      <c r="AA13" s="4"/>
    </row>
    <row r="14" spans="1:27" ht="12.75">
      <c r="A14" s="4"/>
      <c r="B14" s="12"/>
      <c r="C14" s="94"/>
      <c r="D14" s="93" t="s">
        <v>67</v>
      </c>
      <c r="E14" s="106"/>
      <c r="F14" s="106"/>
      <c r="G14" s="161"/>
      <c r="H14" s="106"/>
      <c r="I14" s="106"/>
      <c r="J14" s="106"/>
      <c r="K14" s="106"/>
      <c r="L14" s="106"/>
      <c r="M14" s="161"/>
      <c r="N14" s="161"/>
      <c r="O14" s="106"/>
      <c r="P14" s="23"/>
      <c r="Q14" s="49"/>
      <c r="R14" s="23"/>
      <c r="S14" s="4"/>
      <c r="T14" s="4"/>
      <c r="U14" s="4"/>
      <c r="V14" s="4"/>
      <c r="W14" s="4"/>
      <c r="X14" s="4"/>
      <c r="Y14" s="4"/>
      <c r="Z14" s="4"/>
      <c r="AA14" s="4"/>
    </row>
    <row r="15" spans="1:27" ht="12.75">
      <c r="A15" s="4"/>
      <c r="B15" s="12"/>
      <c r="C15" s="94"/>
      <c r="D15" s="93" t="s">
        <v>71</v>
      </c>
      <c r="E15" s="94"/>
      <c r="F15" s="94"/>
      <c r="G15" s="161"/>
      <c r="H15" s="94"/>
      <c r="I15" s="94"/>
      <c r="J15" s="94"/>
      <c r="K15" s="94"/>
      <c r="L15" s="94"/>
      <c r="M15" s="106"/>
      <c r="N15" s="106"/>
      <c r="O15" s="94"/>
      <c r="P15" s="26"/>
      <c r="Q15" s="51"/>
      <c r="R15" s="23"/>
      <c r="S15" s="4"/>
      <c r="T15" s="4"/>
      <c r="U15" s="4"/>
      <c r="V15" s="4"/>
      <c r="W15" s="4"/>
      <c r="X15" s="4"/>
      <c r="Y15" s="4"/>
      <c r="Z15" s="4"/>
      <c r="AA15" s="4"/>
    </row>
    <row r="16" spans="1:27" ht="12.75">
      <c r="A16" s="4"/>
      <c r="B16" s="12"/>
      <c r="C16" s="94"/>
      <c r="D16" s="94" t="s">
        <v>69</v>
      </c>
      <c r="E16" s="161">
        <f>IncomeStatements!D16</f>
        <v>27428</v>
      </c>
      <c r="F16" s="161"/>
      <c r="G16" s="210">
        <f t="shared" si="0"/>
        <v>0.005396025968915995</v>
      </c>
      <c r="H16" s="161"/>
      <c r="I16" s="161">
        <f>IncomeStatements!F16</f>
        <v>32760</v>
      </c>
      <c r="J16" s="161"/>
      <c r="K16" s="210">
        <f aca="true" t="shared" si="1" ref="K16:K21">I16/$I$10</f>
        <v>0.005478260869565217</v>
      </c>
      <c r="L16" s="161"/>
      <c r="M16" s="161">
        <f>IncomeStatements!H16</f>
        <v>23820</v>
      </c>
      <c r="N16" s="161"/>
      <c r="O16" s="210">
        <f aca="true" t="shared" si="2" ref="O16:O21">M16/$M$10</f>
        <v>0.005311036789297659</v>
      </c>
      <c r="P16" s="24"/>
      <c r="Q16" s="60"/>
      <c r="R16" s="23"/>
      <c r="S16" s="4"/>
      <c r="T16" s="4"/>
      <c r="U16" s="4"/>
      <c r="V16" s="4"/>
      <c r="W16" s="4"/>
      <c r="X16" s="4"/>
      <c r="Y16" s="4"/>
      <c r="Z16" s="4"/>
      <c r="AA16" s="4"/>
    </row>
    <row r="17" spans="1:27" ht="12.75">
      <c r="A17" s="4"/>
      <c r="B17" s="12"/>
      <c r="C17" s="94"/>
      <c r="D17" s="94" t="s">
        <v>68</v>
      </c>
      <c r="E17" s="161">
        <f>IncomeStatements!D17</f>
        <v>6000</v>
      </c>
      <c r="F17" s="161"/>
      <c r="G17" s="210">
        <f t="shared" si="0"/>
        <v>0.0011804052724768838</v>
      </c>
      <c r="H17" s="161"/>
      <c r="I17" s="161">
        <f>IncomeStatements!F17</f>
        <v>6000</v>
      </c>
      <c r="J17" s="161"/>
      <c r="K17" s="210">
        <f t="shared" si="1"/>
        <v>0.001003344481605351</v>
      </c>
      <c r="L17" s="161"/>
      <c r="M17" s="161">
        <f>IncomeStatements!H17</f>
        <v>6000</v>
      </c>
      <c r="N17" s="161"/>
      <c r="O17" s="210">
        <f t="shared" si="2"/>
        <v>0.0013377926421404682</v>
      </c>
      <c r="P17" s="24"/>
      <c r="Q17" s="60"/>
      <c r="R17" s="23"/>
      <c r="S17" s="4"/>
      <c r="T17" s="4"/>
      <c r="U17" s="4"/>
      <c r="V17" s="4"/>
      <c r="W17" s="4"/>
      <c r="X17" s="4"/>
      <c r="Y17" s="4"/>
      <c r="Z17" s="4"/>
      <c r="AA17" s="4"/>
    </row>
    <row r="18" spans="1:27" ht="12.75">
      <c r="A18" s="4"/>
      <c r="B18" s="12"/>
      <c r="C18" s="94"/>
      <c r="D18" s="94" t="s">
        <v>259</v>
      </c>
      <c r="E18" s="161">
        <f>IncomeStatements!D18</f>
        <v>152490</v>
      </c>
      <c r="F18" s="161"/>
      <c r="G18" s="210">
        <f t="shared" si="0"/>
        <v>0.03</v>
      </c>
      <c r="H18" s="161"/>
      <c r="I18" s="161">
        <f>IncomeStatements!F18</f>
        <v>179400</v>
      </c>
      <c r="J18" s="161"/>
      <c r="K18" s="210">
        <f t="shared" si="1"/>
        <v>0.03</v>
      </c>
      <c r="L18" s="161"/>
      <c r="M18" s="161">
        <f>IncomeStatements!H18</f>
        <v>134550</v>
      </c>
      <c r="N18" s="161"/>
      <c r="O18" s="210">
        <f t="shared" si="2"/>
        <v>0.03</v>
      </c>
      <c r="P18" s="24"/>
      <c r="Q18" s="60"/>
      <c r="R18" s="23"/>
      <c r="S18" s="4"/>
      <c r="T18" s="4"/>
      <c r="U18" s="4"/>
      <c r="V18" s="4"/>
      <c r="W18" s="4"/>
      <c r="X18" s="4"/>
      <c r="Y18" s="4"/>
      <c r="Z18" s="4"/>
      <c r="AA18" s="4"/>
    </row>
    <row r="19" spans="1:27" ht="12.75">
      <c r="A19" s="4"/>
      <c r="B19" s="12"/>
      <c r="C19" s="94"/>
      <c r="D19" s="94" t="s">
        <v>70</v>
      </c>
      <c r="E19" s="161">
        <f>IncomeStatements!D19</f>
        <v>50830</v>
      </c>
      <c r="F19" s="111"/>
      <c r="G19" s="210">
        <f t="shared" si="0"/>
        <v>0.01</v>
      </c>
      <c r="H19" s="111"/>
      <c r="I19" s="161">
        <f>IncomeStatements!F19</f>
        <v>59800</v>
      </c>
      <c r="J19" s="111"/>
      <c r="K19" s="210">
        <f t="shared" si="1"/>
        <v>0.01</v>
      </c>
      <c r="L19" s="111"/>
      <c r="M19" s="161">
        <f>IncomeStatements!H19</f>
        <v>44850</v>
      </c>
      <c r="N19" s="111"/>
      <c r="O19" s="210">
        <f t="shared" si="2"/>
        <v>0.01</v>
      </c>
      <c r="P19" s="23"/>
      <c r="Q19" s="49"/>
      <c r="R19" s="23"/>
      <c r="S19" s="4"/>
      <c r="T19" s="4"/>
      <c r="U19" s="4"/>
      <c r="V19" s="4"/>
      <c r="W19" s="4"/>
      <c r="X19" s="4"/>
      <c r="Y19" s="4"/>
      <c r="Z19" s="4"/>
      <c r="AA19" s="4"/>
    </row>
    <row r="20" spans="1:27" ht="12.75">
      <c r="A20" s="4"/>
      <c r="B20" s="12"/>
      <c r="C20" s="94"/>
      <c r="D20" s="94" t="s">
        <v>82</v>
      </c>
      <c r="E20" s="167">
        <f>IncomeStatements!D20</f>
        <v>102000</v>
      </c>
      <c r="F20" s="111"/>
      <c r="G20" s="468">
        <f t="shared" si="0"/>
        <v>0.020066889632107024</v>
      </c>
      <c r="H20" s="143"/>
      <c r="I20" s="167">
        <f>IncomeStatements!F20</f>
        <v>120000</v>
      </c>
      <c r="J20" s="143"/>
      <c r="K20" s="468">
        <f t="shared" si="1"/>
        <v>0.020066889632107024</v>
      </c>
      <c r="L20" s="111"/>
      <c r="M20" s="167">
        <f>IncomeStatements!H20</f>
        <v>90000</v>
      </c>
      <c r="N20" s="143"/>
      <c r="O20" s="468">
        <f t="shared" si="2"/>
        <v>0.020066889632107024</v>
      </c>
      <c r="P20" s="23"/>
      <c r="Q20" s="49"/>
      <c r="R20" s="23"/>
      <c r="S20" s="4"/>
      <c r="T20" s="4"/>
      <c r="U20" s="4"/>
      <c r="V20" s="4"/>
      <c r="W20" s="4"/>
      <c r="X20" s="4"/>
      <c r="Y20" s="4"/>
      <c r="Z20" s="4"/>
      <c r="AA20" s="4"/>
    </row>
    <row r="21" spans="1:27" ht="12.75">
      <c r="A21" s="4"/>
      <c r="B21" s="12"/>
      <c r="C21" s="94"/>
      <c r="D21" s="94" t="s">
        <v>77</v>
      </c>
      <c r="E21" s="161">
        <f>E16+E17+E19+E20+E18</f>
        <v>338748</v>
      </c>
      <c r="F21" s="161"/>
      <c r="G21" s="210">
        <f t="shared" si="0"/>
        <v>0.0666433208734999</v>
      </c>
      <c r="H21" s="161"/>
      <c r="I21" s="161">
        <f>I16+I17+I19+I20+I18</f>
        <v>397960</v>
      </c>
      <c r="J21" s="161"/>
      <c r="K21" s="210">
        <f t="shared" si="1"/>
        <v>0.0665484949832776</v>
      </c>
      <c r="L21" s="161"/>
      <c r="M21" s="161">
        <f>M16+M17+M19+M20+M18</f>
        <v>299220</v>
      </c>
      <c r="N21" s="161"/>
      <c r="O21" s="210">
        <f t="shared" si="2"/>
        <v>0.06671571906354515</v>
      </c>
      <c r="P21" s="26"/>
      <c r="Q21" s="51"/>
      <c r="R21" s="23"/>
      <c r="S21" s="4"/>
      <c r="T21" s="4"/>
      <c r="U21" s="4"/>
      <c r="V21" s="4"/>
      <c r="W21" s="4"/>
      <c r="X21" s="4"/>
      <c r="Y21" s="4"/>
      <c r="Z21" s="4"/>
      <c r="AA21" s="4"/>
    </row>
    <row r="22" spans="1:27" ht="12.75">
      <c r="A22" s="4"/>
      <c r="B22" s="12"/>
      <c r="C22" s="94"/>
      <c r="D22" s="94"/>
      <c r="E22" s="111"/>
      <c r="F22" s="111"/>
      <c r="G22" s="161"/>
      <c r="H22" s="111"/>
      <c r="I22" s="111"/>
      <c r="J22" s="111"/>
      <c r="K22" s="111"/>
      <c r="L22" s="111"/>
      <c r="M22" s="161"/>
      <c r="N22" s="161"/>
      <c r="O22" s="111"/>
      <c r="P22" s="26"/>
      <c r="Q22" s="51"/>
      <c r="R22" s="23"/>
      <c r="S22" s="4"/>
      <c r="T22" s="4"/>
      <c r="U22" s="4"/>
      <c r="V22" s="4"/>
      <c r="W22" s="4"/>
      <c r="X22" s="4"/>
      <c r="Y22" s="4"/>
      <c r="Z22" s="4"/>
      <c r="AA22" s="4"/>
    </row>
    <row r="23" spans="1:27" ht="12.75">
      <c r="A23" s="4"/>
      <c r="B23" s="12"/>
      <c r="C23" s="94"/>
      <c r="D23" s="93" t="s">
        <v>72</v>
      </c>
      <c r="E23" s="111"/>
      <c r="F23" s="111"/>
      <c r="G23" s="161"/>
      <c r="H23" s="111"/>
      <c r="I23" s="111"/>
      <c r="J23" s="111"/>
      <c r="K23" s="111"/>
      <c r="L23" s="111"/>
      <c r="M23" s="161"/>
      <c r="N23" s="161"/>
      <c r="O23" s="111"/>
      <c r="P23" s="28"/>
      <c r="Q23" s="61"/>
      <c r="R23" s="23"/>
      <c r="S23" s="4"/>
      <c r="T23" s="4"/>
      <c r="U23" s="4"/>
      <c r="V23" s="4"/>
      <c r="W23" s="4"/>
      <c r="X23" s="4"/>
      <c r="Y23" s="4"/>
      <c r="Z23" s="4"/>
      <c r="AA23" s="4"/>
    </row>
    <row r="24" spans="1:27" ht="12.75">
      <c r="A24" s="4"/>
      <c r="B24" s="12"/>
      <c r="C24" s="94"/>
      <c r="D24" s="94" t="s">
        <v>78</v>
      </c>
      <c r="E24" s="161">
        <f>IncomeStatements!D24</f>
        <v>170000</v>
      </c>
      <c r="F24" s="111"/>
      <c r="G24" s="210">
        <f t="shared" si="0"/>
        <v>0.033444816053511704</v>
      </c>
      <c r="H24" s="111"/>
      <c r="I24" s="161">
        <f>IncomeStatements!F24</f>
        <v>170000</v>
      </c>
      <c r="J24" s="111"/>
      <c r="K24" s="210">
        <f aca="true" t="shared" si="3" ref="K24:K32">I24/$I$10</f>
        <v>0.028428093645484948</v>
      </c>
      <c r="L24" s="111"/>
      <c r="M24" s="161">
        <f>IncomeStatements!H24</f>
        <v>140000</v>
      </c>
      <c r="N24" s="161"/>
      <c r="O24" s="210">
        <f aca="true" t="shared" si="4" ref="O24:O32">M24/$M$10</f>
        <v>0.03121516164994426</v>
      </c>
      <c r="P24" s="28"/>
      <c r="Q24" s="61"/>
      <c r="R24" s="23"/>
      <c r="S24" s="4"/>
      <c r="T24" s="4"/>
      <c r="U24" s="4"/>
      <c r="V24" s="4"/>
      <c r="W24" s="4"/>
      <c r="X24" s="4"/>
      <c r="Y24" s="4"/>
      <c r="Z24" s="4"/>
      <c r="AA24" s="4"/>
    </row>
    <row r="25" spans="1:27" ht="12.75">
      <c r="A25" s="4"/>
      <c r="B25" s="12"/>
      <c r="C25" s="94"/>
      <c r="D25" s="94" t="s">
        <v>79</v>
      </c>
      <c r="E25" s="161">
        <f>IncomeStatements!D25</f>
        <v>220000</v>
      </c>
      <c r="F25" s="111"/>
      <c r="G25" s="210">
        <f t="shared" si="0"/>
        <v>0.04328152665748574</v>
      </c>
      <c r="H25" s="111"/>
      <c r="I25" s="161">
        <f>IncomeStatements!F25</f>
        <v>220000</v>
      </c>
      <c r="J25" s="111"/>
      <c r="K25" s="210">
        <f t="shared" si="3"/>
        <v>0.03678929765886288</v>
      </c>
      <c r="L25" s="111"/>
      <c r="M25" s="161">
        <f>IncomeStatements!H25</f>
        <v>170000</v>
      </c>
      <c r="N25" s="161"/>
      <c r="O25" s="210">
        <f t="shared" si="4"/>
        <v>0.0379041248606466</v>
      </c>
      <c r="P25" s="23"/>
      <c r="Q25" s="49"/>
      <c r="R25" s="23"/>
      <c r="S25" s="4"/>
      <c r="T25" s="4"/>
      <c r="U25" s="4"/>
      <c r="V25" s="4"/>
      <c r="W25" s="4"/>
      <c r="X25" s="4"/>
      <c r="Y25" s="4"/>
      <c r="Z25" s="4"/>
      <c r="AA25" s="4"/>
    </row>
    <row r="26" spans="1:27" ht="12.75">
      <c r="A26" s="4"/>
      <c r="B26" s="12"/>
      <c r="C26" s="94"/>
      <c r="D26" s="94" t="s">
        <v>80</v>
      </c>
      <c r="E26" s="161">
        <f>IncomeStatements!D26</f>
        <v>29835</v>
      </c>
      <c r="F26" s="161"/>
      <c r="G26" s="210">
        <f t="shared" si="0"/>
        <v>0.005869565217391304</v>
      </c>
      <c r="H26" s="161"/>
      <c r="I26" s="161">
        <f>IncomeStatements!F26</f>
        <v>29835</v>
      </c>
      <c r="J26" s="161"/>
      <c r="K26" s="210">
        <f t="shared" si="3"/>
        <v>0.004989130434782609</v>
      </c>
      <c r="L26" s="161"/>
      <c r="M26" s="161">
        <f>IncomeStatements!H26</f>
        <v>23715</v>
      </c>
      <c r="N26" s="161"/>
      <c r="O26" s="210">
        <f t="shared" si="4"/>
        <v>0.005287625418060201</v>
      </c>
      <c r="P26" s="26"/>
      <c r="Q26" s="51"/>
      <c r="R26" s="23"/>
      <c r="S26" s="4"/>
      <c r="T26" s="4"/>
      <c r="U26" s="4"/>
      <c r="V26" s="4"/>
      <c r="W26" s="4"/>
      <c r="X26" s="4"/>
      <c r="Y26" s="4"/>
      <c r="Z26" s="4"/>
      <c r="AA26" s="4"/>
    </row>
    <row r="27" spans="1:27" ht="12.75">
      <c r="A27" s="4"/>
      <c r="B27" s="12"/>
      <c r="C27" s="94"/>
      <c r="D27" s="94" t="s">
        <v>73</v>
      </c>
      <c r="E27" s="161">
        <f>IncomeStatements!D27</f>
        <v>150000</v>
      </c>
      <c r="F27" s="111"/>
      <c r="G27" s="210">
        <f t="shared" si="0"/>
        <v>0.029510131811922094</v>
      </c>
      <c r="H27" s="111"/>
      <c r="I27" s="161">
        <f>IncomeStatements!F27</f>
        <v>135000</v>
      </c>
      <c r="J27" s="111"/>
      <c r="K27" s="210">
        <f t="shared" si="3"/>
        <v>0.0225752508361204</v>
      </c>
      <c r="L27" s="111"/>
      <c r="M27" s="161">
        <f>IncomeStatements!H27</f>
        <v>130000</v>
      </c>
      <c r="N27" s="161"/>
      <c r="O27" s="210">
        <f t="shared" si="4"/>
        <v>0.028985507246376812</v>
      </c>
      <c r="P27" s="24"/>
      <c r="Q27" s="60"/>
      <c r="R27" s="23"/>
      <c r="S27" s="4"/>
      <c r="T27" s="4"/>
      <c r="U27" s="4"/>
      <c r="V27" s="4"/>
      <c r="W27" s="4"/>
      <c r="X27" s="4"/>
      <c r="Y27" s="4"/>
      <c r="Z27" s="4"/>
      <c r="AA27" s="4"/>
    </row>
    <row r="28" spans="1:27" ht="12.75">
      <c r="A28" s="4"/>
      <c r="B28" s="12"/>
      <c r="C28" s="94"/>
      <c r="D28" s="94" t="s">
        <v>329</v>
      </c>
      <c r="E28" s="161">
        <f>IncomeStatements!D28</f>
        <v>33000</v>
      </c>
      <c r="F28" s="111"/>
      <c r="G28" s="210">
        <f t="shared" si="0"/>
        <v>0.006492228998622861</v>
      </c>
      <c r="H28" s="111"/>
      <c r="I28" s="161">
        <f>IncomeStatements!F28</f>
        <v>33000</v>
      </c>
      <c r="J28" s="111"/>
      <c r="K28" s="210">
        <f t="shared" si="3"/>
        <v>0.005518394648829431</v>
      </c>
      <c r="L28" s="111"/>
      <c r="M28" s="161">
        <f>IncomeStatements!H28</f>
        <v>32000</v>
      </c>
      <c r="N28" s="161"/>
      <c r="O28" s="210">
        <f t="shared" si="4"/>
        <v>0.007134894091415831</v>
      </c>
      <c r="P28" s="24"/>
      <c r="Q28" s="60"/>
      <c r="R28" s="23"/>
      <c r="S28" s="4"/>
      <c r="T28" s="4"/>
      <c r="U28" s="4"/>
      <c r="V28" s="4"/>
      <c r="W28" s="4"/>
      <c r="X28" s="4"/>
      <c r="Y28" s="4"/>
      <c r="Z28" s="4"/>
      <c r="AA28" s="4"/>
    </row>
    <row r="29" spans="1:27" ht="12.75">
      <c r="A29" s="4"/>
      <c r="B29" s="12"/>
      <c r="C29" s="94"/>
      <c r="D29" s="94" t="s">
        <v>81</v>
      </c>
      <c r="E29" s="161">
        <f>IncomeStatements!D29</f>
        <v>82284</v>
      </c>
      <c r="F29" s="161"/>
      <c r="G29" s="210">
        <f t="shared" si="0"/>
        <v>0.016188077906747984</v>
      </c>
      <c r="H29" s="161"/>
      <c r="I29" s="161">
        <f>IncomeStatements!F29</f>
        <v>98280</v>
      </c>
      <c r="J29" s="161"/>
      <c r="K29" s="210">
        <f t="shared" si="3"/>
        <v>0.01643478260869565</v>
      </c>
      <c r="L29" s="161"/>
      <c r="M29" s="161">
        <f>IncomeStatements!H29</f>
        <v>71460</v>
      </c>
      <c r="N29" s="161"/>
      <c r="O29" s="210">
        <f t="shared" si="4"/>
        <v>0.015933110367892977</v>
      </c>
      <c r="P29" s="24"/>
      <c r="Q29" s="60"/>
      <c r="R29" s="23"/>
      <c r="S29" s="4"/>
      <c r="T29" s="4"/>
      <c r="U29" s="4"/>
      <c r="V29" s="4"/>
      <c r="W29" s="4"/>
      <c r="X29" s="4"/>
      <c r="Y29" s="4"/>
      <c r="Z29" s="4"/>
      <c r="AA29" s="4"/>
    </row>
    <row r="30" spans="1:27" ht="12.75">
      <c r="A30" s="4"/>
      <c r="B30" s="12"/>
      <c r="C30" s="94"/>
      <c r="D30" s="94" t="s">
        <v>84</v>
      </c>
      <c r="E30" s="161">
        <f>IncomeStatements!D30</f>
        <v>80000</v>
      </c>
      <c r="F30" s="111"/>
      <c r="G30" s="210">
        <f t="shared" si="0"/>
        <v>0.01573873696635845</v>
      </c>
      <c r="H30" s="111"/>
      <c r="I30" s="161">
        <f>IncomeStatements!F30</f>
        <v>80000</v>
      </c>
      <c r="J30" s="161"/>
      <c r="K30" s="210">
        <f t="shared" si="3"/>
        <v>0.013377926421404682</v>
      </c>
      <c r="L30" s="111"/>
      <c r="M30" s="161">
        <f>IncomeStatements!H30</f>
        <v>80000</v>
      </c>
      <c r="N30" s="161"/>
      <c r="O30" s="210">
        <f t="shared" si="4"/>
        <v>0.017837235228539576</v>
      </c>
      <c r="P30" s="26"/>
      <c r="Q30" s="51"/>
      <c r="R30" s="26"/>
      <c r="S30" s="4"/>
      <c r="T30" s="4"/>
      <c r="U30" s="4"/>
      <c r="V30" s="4"/>
      <c r="W30" s="4"/>
      <c r="X30" s="4"/>
      <c r="Y30" s="4"/>
      <c r="Z30" s="4"/>
      <c r="AA30" s="4"/>
    </row>
    <row r="31" spans="1:27" ht="12.75">
      <c r="A31" s="4"/>
      <c r="B31" s="12"/>
      <c r="C31" s="94"/>
      <c r="D31" s="94" t="s">
        <v>75</v>
      </c>
      <c r="E31" s="167">
        <f>IncomeStatements!D31</f>
        <v>170000</v>
      </c>
      <c r="F31" s="111"/>
      <c r="G31" s="468">
        <f t="shared" si="0"/>
        <v>0.033444816053511704</v>
      </c>
      <c r="H31" s="143"/>
      <c r="I31" s="167">
        <f>IncomeStatements!F31</f>
        <v>158000</v>
      </c>
      <c r="J31" s="143"/>
      <c r="K31" s="468">
        <f t="shared" si="3"/>
        <v>0.026421404682274247</v>
      </c>
      <c r="L31" s="111"/>
      <c r="M31" s="167">
        <f>IncomeStatements!H31</f>
        <v>120500</v>
      </c>
      <c r="N31" s="165"/>
      <c r="O31" s="468">
        <f t="shared" si="4"/>
        <v>0.026867335562987735</v>
      </c>
      <c r="P31" s="4"/>
      <c r="Q31" s="12"/>
      <c r="R31" s="4"/>
      <c r="S31" s="4"/>
      <c r="T31" s="4"/>
      <c r="U31" s="4"/>
      <c r="V31" s="4"/>
      <c r="W31" s="4"/>
      <c r="X31" s="4"/>
      <c r="Y31" s="4"/>
      <c r="Z31" s="4"/>
      <c r="AA31" s="4"/>
    </row>
    <row r="32" spans="1:27" ht="12.75">
      <c r="A32" s="4"/>
      <c r="B32" s="12"/>
      <c r="C32" s="94"/>
      <c r="D32" s="93" t="s">
        <v>76</v>
      </c>
      <c r="E32" s="161">
        <f>SUM(E24:E31)</f>
        <v>935119</v>
      </c>
      <c r="F32" s="161"/>
      <c r="G32" s="210">
        <f t="shared" si="0"/>
        <v>0.18396989966555183</v>
      </c>
      <c r="H32" s="161"/>
      <c r="I32" s="161">
        <f>SUM(I24:I31)</f>
        <v>924115</v>
      </c>
      <c r="J32" s="161"/>
      <c r="K32" s="210">
        <f t="shared" si="3"/>
        <v>0.15453428093645485</v>
      </c>
      <c r="L32" s="161"/>
      <c r="M32" s="161">
        <f>SUM(M24:M31)</f>
        <v>767675</v>
      </c>
      <c r="N32" s="161"/>
      <c r="O32" s="210">
        <f t="shared" si="4"/>
        <v>0.171164994425864</v>
      </c>
      <c r="P32" s="4"/>
      <c r="Q32" s="47"/>
      <c r="R32" s="16"/>
      <c r="S32" s="4"/>
      <c r="T32" s="4"/>
      <c r="U32" s="4"/>
      <c r="V32" s="4"/>
      <c r="W32" s="4"/>
      <c r="X32" s="4"/>
      <c r="Y32" s="4"/>
      <c r="Z32" s="4"/>
      <c r="AA32" s="4"/>
    </row>
    <row r="33" spans="1:27" ht="12.75">
      <c r="A33" s="4"/>
      <c r="B33" s="12"/>
      <c r="C33" s="94"/>
      <c r="D33" s="94"/>
      <c r="E33" s="111"/>
      <c r="F33" s="111"/>
      <c r="G33" s="161"/>
      <c r="H33" s="111"/>
      <c r="I33" s="111"/>
      <c r="J33" s="111"/>
      <c r="K33" s="111"/>
      <c r="L33" s="111"/>
      <c r="M33" s="111"/>
      <c r="N33" s="111"/>
      <c r="O33" s="111"/>
      <c r="P33" s="16"/>
      <c r="Q33" s="12"/>
      <c r="R33" s="4"/>
      <c r="S33" s="4"/>
      <c r="T33" s="4"/>
      <c r="U33" s="4"/>
      <c r="V33" s="4"/>
      <c r="W33" s="4"/>
      <c r="X33" s="4"/>
      <c r="Y33" s="4"/>
      <c r="Z33" s="4"/>
      <c r="AA33" s="4"/>
    </row>
    <row r="34" spans="1:27" ht="12.75">
      <c r="A34" s="4"/>
      <c r="B34" s="12"/>
      <c r="C34" s="94"/>
      <c r="D34" s="93" t="s">
        <v>13</v>
      </c>
      <c r="E34" s="167">
        <f>E21+E32</f>
        <v>1273867</v>
      </c>
      <c r="F34" s="161"/>
      <c r="G34" s="468">
        <f t="shared" si="0"/>
        <v>0.2506132205390517</v>
      </c>
      <c r="H34" s="165"/>
      <c r="I34" s="167">
        <f>IncomeStatements!F34</f>
        <v>1322075</v>
      </c>
      <c r="J34" s="165"/>
      <c r="K34" s="468">
        <f>I34/$I$10</f>
        <v>0.22108277591973244</v>
      </c>
      <c r="L34" s="161"/>
      <c r="M34" s="167">
        <f>IncomeStatements!H34</f>
        <v>1066895</v>
      </c>
      <c r="N34" s="165"/>
      <c r="O34" s="468">
        <f>M34/$M$10</f>
        <v>0.23788071348940915</v>
      </c>
      <c r="P34" s="4"/>
      <c r="Q34" s="12"/>
      <c r="R34" s="4"/>
      <c r="S34" s="4"/>
      <c r="T34" s="4"/>
      <c r="U34" s="4"/>
      <c r="V34" s="4"/>
      <c r="W34" s="4"/>
      <c r="X34" s="4"/>
      <c r="Y34" s="4"/>
      <c r="Z34" s="4"/>
      <c r="AA34" s="4"/>
    </row>
    <row r="35" spans="1:27" ht="12.75">
      <c r="A35" s="4"/>
      <c r="B35" s="12"/>
      <c r="C35" s="94"/>
      <c r="D35" s="93" t="s">
        <v>14</v>
      </c>
      <c r="E35" s="161">
        <f>E12-E34</f>
        <v>97533</v>
      </c>
      <c r="F35" s="161"/>
      <c r="G35" s="210">
        <f t="shared" si="0"/>
        <v>0.019188077906747984</v>
      </c>
      <c r="H35" s="165"/>
      <c r="I35" s="161">
        <f>I12-I34</f>
        <v>315925</v>
      </c>
      <c r="J35" s="161"/>
      <c r="K35" s="210">
        <f>I35/$I$10</f>
        <v>0.052830267558528425</v>
      </c>
      <c r="L35" s="161"/>
      <c r="M35" s="161">
        <f>M12-M34</f>
        <v>124105</v>
      </c>
      <c r="N35" s="161"/>
      <c r="O35" s="210">
        <f>M35/$M$10</f>
        <v>0.0276711259754738</v>
      </c>
      <c r="P35" s="4"/>
      <c r="Q35" s="12"/>
      <c r="R35" s="4"/>
      <c r="S35" s="4"/>
      <c r="T35" s="4"/>
      <c r="U35" s="4"/>
      <c r="V35" s="4"/>
      <c r="W35" s="4"/>
      <c r="X35" s="4"/>
      <c r="Y35" s="4"/>
      <c r="Z35" s="4"/>
      <c r="AA35" s="4"/>
    </row>
    <row r="36" spans="1:27" ht="12.75">
      <c r="A36" s="4"/>
      <c r="B36" s="12"/>
      <c r="C36" s="94"/>
      <c r="D36" s="94"/>
      <c r="E36" s="161"/>
      <c r="F36" s="161"/>
      <c r="G36" s="161"/>
      <c r="H36" s="161"/>
      <c r="I36" s="161"/>
      <c r="J36" s="161"/>
      <c r="K36" s="161"/>
      <c r="L36" s="161"/>
      <c r="M36" s="111"/>
      <c r="N36" s="111"/>
      <c r="O36" s="161"/>
      <c r="P36" s="4"/>
      <c r="Q36" s="12"/>
      <c r="R36" s="4"/>
      <c r="S36" s="4"/>
      <c r="T36" s="4"/>
      <c r="U36" s="4"/>
      <c r="V36" s="4"/>
      <c r="W36" s="4"/>
      <c r="X36" s="4"/>
      <c r="Y36" s="4"/>
      <c r="Z36" s="4"/>
      <c r="AA36" s="4"/>
    </row>
    <row r="37" spans="1:27" ht="12.75">
      <c r="A37" s="4"/>
      <c r="B37" s="12"/>
      <c r="C37" s="94"/>
      <c r="D37" s="94" t="s">
        <v>15</v>
      </c>
      <c r="E37" s="161"/>
      <c r="F37" s="161"/>
      <c r="G37" s="161"/>
      <c r="H37" s="161"/>
      <c r="I37" s="161"/>
      <c r="J37" s="161"/>
      <c r="K37" s="161"/>
      <c r="L37" s="161"/>
      <c r="M37" s="111"/>
      <c r="N37" s="111"/>
      <c r="O37" s="161"/>
      <c r="P37" s="4"/>
      <c r="Q37" s="12"/>
      <c r="R37" s="4"/>
      <c r="S37" s="4"/>
      <c r="T37" s="4"/>
      <c r="U37" s="4"/>
      <c r="V37" s="4"/>
      <c r="W37" s="4"/>
      <c r="X37" s="4"/>
      <c r="Y37" s="4"/>
      <c r="Z37" s="4"/>
      <c r="AA37" s="4"/>
    </row>
    <row r="38" spans="1:27" ht="12.75">
      <c r="A38" s="4"/>
      <c r="B38" s="12"/>
      <c r="C38" s="94"/>
      <c r="D38" s="94" t="s">
        <v>16</v>
      </c>
      <c r="E38" s="161">
        <f>IncomeStatements!D38</f>
        <v>5600</v>
      </c>
      <c r="F38" s="161"/>
      <c r="G38" s="210">
        <f t="shared" si="0"/>
        <v>0.0011017115876450915</v>
      </c>
      <c r="H38" s="161"/>
      <c r="I38" s="161">
        <f>IncomeStatements!F38</f>
        <v>5800</v>
      </c>
      <c r="J38" s="161"/>
      <c r="K38" s="210">
        <f>I38/$I$10</f>
        <v>0.0009698996655518394</v>
      </c>
      <c r="L38" s="161"/>
      <c r="M38" s="161">
        <f>IncomeStatements!H38</f>
        <v>4200</v>
      </c>
      <c r="N38" s="111"/>
      <c r="O38" s="210">
        <f>M38/$M$10</f>
        <v>0.0009364548494983278</v>
      </c>
      <c r="P38" s="4"/>
      <c r="Q38" s="12"/>
      <c r="R38" s="4"/>
      <c r="S38" s="4"/>
      <c r="T38" s="4"/>
      <c r="U38" s="4"/>
      <c r="V38" s="4"/>
      <c r="W38" s="4"/>
      <c r="X38" s="4"/>
      <c r="Y38" s="4"/>
      <c r="Z38" s="4"/>
      <c r="AA38" s="4"/>
    </row>
    <row r="39" spans="1:27" ht="12.75">
      <c r="A39" s="4"/>
      <c r="B39" s="12"/>
      <c r="C39" s="94"/>
      <c r="D39" s="94" t="s">
        <v>17</v>
      </c>
      <c r="E39" s="161">
        <f>IncomeStatements!D39</f>
        <v>-55000</v>
      </c>
      <c r="F39" s="161"/>
      <c r="G39" s="210">
        <f t="shared" si="0"/>
        <v>-0.010820381664371435</v>
      </c>
      <c r="H39" s="161"/>
      <c r="I39" s="161">
        <f>IncomeStatements!F39</f>
        <v>-60000</v>
      </c>
      <c r="J39" s="161"/>
      <c r="K39" s="210">
        <f>I39/$I$10</f>
        <v>-0.010033444816053512</v>
      </c>
      <c r="L39" s="161"/>
      <c r="M39" s="161">
        <f>IncomeStatements!H39</f>
        <v>-65000</v>
      </c>
      <c r="N39" s="111"/>
      <c r="O39" s="210">
        <f>M39/$M$10</f>
        <v>-0.014492753623188406</v>
      </c>
      <c r="P39" s="4"/>
      <c r="Q39" s="12"/>
      <c r="R39" s="4"/>
      <c r="S39" s="4"/>
      <c r="T39" s="4"/>
      <c r="U39" s="4"/>
      <c r="V39" s="4"/>
      <c r="W39" s="4"/>
      <c r="X39" s="4"/>
      <c r="Y39" s="4"/>
      <c r="Z39" s="4"/>
      <c r="AA39" s="4"/>
    </row>
    <row r="40" spans="1:27" ht="12.75">
      <c r="A40" s="4"/>
      <c r="B40" s="12"/>
      <c r="C40" s="94"/>
      <c r="D40" s="94" t="s">
        <v>18</v>
      </c>
      <c r="E40" s="167">
        <f>IncomeStatements!D40</f>
        <v>-49400</v>
      </c>
      <c r="F40" s="161"/>
      <c r="G40" s="468">
        <f t="shared" si="0"/>
        <v>-0.009718670076726343</v>
      </c>
      <c r="H40" s="165"/>
      <c r="I40" s="167">
        <f>IncomeStatements!F40</f>
        <v>-54200</v>
      </c>
      <c r="J40" s="165"/>
      <c r="K40" s="468">
        <f>I40/$I$10</f>
        <v>-0.009063545150501673</v>
      </c>
      <c r="L40" s="161"/>
      <c r="M40" s="167">
        <f>IncomeStatements!H40</f>
        <v>-60800</v>
      </c>
      <c r="N40" s="165"/>
      <c r="O40" s="468">
        <f>M40/$M$10</f>
        <v>-0.013556298773690079</v>
      </c>
      <c r="P40" s="4"/>
      <c r="Q40" s="12"/>
      <c r="R40" s="4"/>
      <c r="S40" s="4"/>
      <c r="T40" s="4"/>
      <c r="U40" s="4"/>
      <c r="V40" s="4"/>
      <c r="W40" s="4"/>
      <c r="X40" s="4"/>
      <c r="Y40" s="4"/>
      <c r="Z40" s="4"/>
      <c r="AA40" s="4"/>
    </row>
    <row r="41" spans="1:27" ht="12.75">
      <c r="A41" s="4"/>
      <c r="B41" s="12"/>
      <c r="C41" s="94"/>
      <c r="D41" s="93" t="s">
        <v>19</v>
      </c>
      <c r="E41" s="161">
        <f>E35+E40</f>
        <v>48133</v>
      </c>
      <c r="F41" s="161"/>
      <c r="G41" s="210">
        <f t="shared" si="0"/>
        <v>0.00946940783002164</v>
      </c>
      <c r="H41" s="161"/>
      <c r="I41" s="161">
        <f>I35+I40</f>
        <v>261725</v>
      </c>
      <c r="J41" s="161"/>
      <c r="K41" s="210">
        <f>I41/$I$10</f>
        <v>0.04376672240802676</v>
      </c>
      <c r="L41" s="161"/>
      <c r="M41" s="161">
        <f>M35+M40</f>
        <v>63305</v>
      </c>
      <c r="N41" s="161"/>
      <c r="O41" s="210">
        <f>M41/$M$10</f>
        <v>0.014114827201783723</v>
      </c>
      <c r="P41" s="4"/>
      <c r="Q41" s="12"/>
      <c r="R41" s="4"/>
      <c r="S41" s="4"/>
      <c r="T41" s="4"/>
      <c r="U41" s="4"/>
      <c r="V41" s="4"/>
      <c r="W41" s="4"/>
      <c r="X41" s="4"/>
      <c r="Y41" s="4"/>
      <c r="Z41" s="4"/>
      <c r="AA41" s="4"/>
    </row>
    <row r="42" spans="1:27" ht="12.75">
      <c r="A42" s="4"/>
      <c r="B42" s="12"/>
      <c r="C42" s="94"/>
      <c r="D42" s="93"/>
      <c r="E42" s="161"/>
      <c r="F42" s="161"/>
      <c r="G42" s="161"/>
      <c r="H42" s="161"/>
      <c r="I42" s="161"/>
      <c r="J42" s="161"/>
      <c r="K42" s="161"/>
      <c r="L42" s="161"/>
      <c r="M42" s="111"/>
      <c r="N42" s="111"/>
      <c r="O42" s="161"/>
      <c r="P42" s="4"/>
      <c r="Q42" s="12"/>
      <c r="R42" s="4"/>
      <c r="S42" s="4"/>
      <c r="T42" s="4"/>
      <c r="U42" s="4"/>
      <c r="V42" s="4"/>
      <c r="W42" s="4"/>
      <c r="X42" s="4"/>
      <c r="Y42" s="4"/>
      <c r="Z42" s="4"/>
      <c r="AA42" s="4"/>
    </row>
    <row r="43" spans="1:27" ht="12.75">
      <c r="A43" s="4"/>
      <c r="B43" s="12"/>
      <c r="C43" s="94"/>
      <c r="D43" s="94" t="s">
        <v>20</v>
      </c>
      <c r="E43" s="161">
        <f>IncomeStatements!D43</f>
        <v>12033.25</v>
      </c>
      <c r="F43" s="165"/>
      <c r="G43" s="468">
        <f t="shared" si="0"/>
        <v>0.00236735195750541</v>
      </c>
      <c r="H43" s="165"/>
      <c r="I43" s="161">
        <f>IncomeStatements!F43</f>
        <v>65431.25</v>
      </c>
      <c r="J43" s="165"/>
      <c r="K43" s="210">
        <f>I43/$I$10</f>
        <v>0.01094168060200669</v>
      </c>
      <c r="L43" s="165"/>
      <c r="M43" s="161">
        <f>IncomeStatements!H43</f>
        <v>15826.25</v>
      </c>
      <c r="N43" s="165"/>
      <c r="O43" s="210">
        <f>M43/$M$10</f>
        <v>0.003528706800445931</v>
      </c>
      <c r="P43" s="4"/>
      <c r="Q43" s="12"/>
      <c r="R43" s="4"/>
      <c r="S43" s="4"/>
      <c r="T43" s="4"/>
      <c r="U43" s="4"/>
      <c r="V43" s="4"/>
      <c r="W43" s="4"/>
      <c r="X43" s="4"/>
      <c r="Y43" s="4"/>
      <c r="Z43" s="4"/>
      <c r="AA43" s="4"/>
    </row>
    <row r="44" spans="1:27" ht="13.5" thickBot="1">
      <c r="A44" s="4"/>
      <c r="B44" s="12"/>
      <c r="C44" s="94"/>
      <c r="D44" s="93" t="s">
        <v>21</v>
      </c>
      <c r="E44" s="170">
        <f>E41-E43</f>
        <v>36099.75</v>
      </c>
      <c r="F44" s="165"/>
      <c r="G44" s="469">
        <f t="shared" si="0"/>
        <v>0.007102055872516231</v>
      </c>
      <c r="H44" s="165"/>
      <c r="I44" s="170">
        <f>I41-I43</f>
        <v>196293.75</v>
      </c>
      <c r="J44" s="165"/>
      <c r="K44" s="469">
        <f>I44/$I$10</f>
        <v>0.03282504180602007</v>
      </c>
      <c r="L44" s="165"/>
      <c r="M44" s="170">
        <f>M41-M43</f>
        <v>47478.75</v>
      </c>
      <c r="N44" s="165"/>
      <c r="O44" s="469">
        <f>M44/$M$10</f>
        <v>0.010586120401337792</v>
      </c>
      <c r="P44" s="4"/>
      <c r="Q44" s="12"/>
      <c r="R44" s="4"/>
      <c r="S44" s="4"/>
      <c r="T44" s="4"/>
      <c r="U44" s="4"/>
      <c r="V44" s="4"/>
      <c r="W44" s="4"/>
      <c r="X44" s="4"/>
      <c r="Y44" s="4"/>
      <c r="Z44" s="4"/>
      <c r="AA44" s="4"/>
    </row>
    <row r="45" spans="1:27" ht="13.5" thickTop="1">
      <c r="A45" s="4"/>
      <c r="B45" s="12"/>
      <c r="C45" s="94"/>
      <c r="D45" s="94"/>
      <c r="E45" s="94"/>
      <c r="F45" s="94"/>
      <c r="G45" s="94"/>
      <c r="H45" s="95"/>
      <c r="I45" s="94"/>
      <c r="J45" s="94"/>
      <c r="K45" s="94"/>
      <c r="L45" s="94"/>
      <c r="M45" s="94"/>
      <c r="N45" s="94"/>
      <c r="O45" s="94"/>
      <c r="P45" s="4"/>
      <c r="Q45" s="12"/>
      <c r="R45" s="4"/>
      <c r="S45" s="4"/>
      <c r="T45" s="4"/>
      <c r="U45" s="4"/>
      <c r="V45" s="4"/>
      <c r="W45" s="4"/>
      <c r="X45" s="4"/>
      <c r="Y45" s="4"/>
      <c r="Z45" s="4"/>
      <c r="AA45" s="4"/>
    </row>
    <row r="46" spans="1:27" ht="12.75">
      <c r="A46" s="4"/>
      <c r="B46" s="12"/>
      <c r="C46" s="154"/>
      <c r="D46" s="154"/>
      <c r="E46" s="154"/>
      <c r="F46" s="154"/>
      <c r="G46" s="154"/>
      <c r="H46" s="154"/>
      <c r="I46" s="154"/>
      <c r="J46" s="154"/>
      <c r="K46" s="154"/>
      <c r="L46" s="154"/>
      <c r="M46" s="154"/>
      <c r="N46" s="154"/>
      <c r="O46" s="154"/>
      <c r="P46" s="12"/>
      <c r="Q46" s="12"/>
      <c r="R46" s="4"/>
      <c r="S46" s="4"/>
      <c r="T46" s="4"/>
      <c r="U46" s="4"/>
      <c r="V46" s="4"/>
      <c r="W46" s="4"/>
      <c r="X46" s="4"/>
      <c r="Y46" s="4"/>
      <c r="Z46" s="4"/>
      <c r="AA46" s="4"/>
    </row>
    <row r="47" spans="1:27" ht="12.75">
      <c r="A47" s="4"/>
      <c r="B47" s="12"/>
      <c r="C47" s="94"/>
      <c r="D47" s="94"/>
      <c r="E47" s="94"/>
      <c r="F47" s="94"/>
      <c r="G47" s="94"/>
      <c r="H47" s="94"/>
      <c r="I47" s="94"/>
      <c r="J47" s="94"/>
      <c r="K47" s="94"/>
      <c r="L47" s="94"/>
      <c r="M47" s="94"/>
      <c r="N47" s="94"/>
      <c r="O47" s="94"/>
      <c r="P47" s="4"/>
      <c r="Q47" s="12"/>
      <c r="R47" s="4"/>
      <c r="S47" s="4"/>
      <c r="T47" s="4"/>
      <c r="U47" s="4"/>
      <c r="V47" s="4"/>
      <c r="W47" s="4"/>
      <c r="X47" s="4"/>
      <c r="Y47" s="4"/>
      <c r="Z47" s="4"/>
      <c r="AA47" s="4"/>
    </row>
    <row r="48" spans="1:27" ht="12.75">
      <c r="A48" s="7"/>
      <c r="B48" s="11"/>
      <c r="C48" s="94"/>
      <c r="D48" s="491" t="s">
        <v>54</v>
      </c>
      <c r="E48" s="503"/>
      <c r="F48" s="503"/>
      <c r="G48" s="503"/>
      <c r="H48" s="503"/>
      <c r="I48" s="503"/>
      <c r="J48" s="503"/>
      <c r="K48" s="503"/>
      <c r="L48" s="503"/>
      <c r="M48" s="503"/>
      <c r="N48" s="503"/>
      <c r="O48" s="503"/>
      <c r="P48" s="4"/>
      <c r="Q48" s="12"/>
      <c r="R48" s="4"/>
      <c r="S48" s="4"/>
      <c r="T48" s="4"/>
      <c r="U48" s="4"/>
      <c r="V48" s="4"/>
      <c r="W48" s="4"/>
      <c r="X48" s="4"/>
      <c r="Y48" s="4"/>
      <c r="Z48" s="4"/>
      <c r="AA48" s="4"/>
    </row>
    <row r="49" spans="1:27" ht="12.75">
      <c r="A49" s="7"/>
      <c r="B49" s="11"/>
      <c r="C49" s="94"/>
      <c r="D49" s="491" t="s">
        <v>61</v>
      </c>
      <c r="E49" s="503"/>
      <c r="F49" s="503"/>
      <c r="G49" s="503"/>
      <c r="H49" s="503"/>
      <c r="I49" s="503"/>
      <c r="J49" s="503"/>
      <c r="K49" s="503"/>
      <c r="L49" s="503"/>
      <c r="M49" s="503"/>
      <c r="N49" s="503"/>
      <c r="O49" s="503"/>
      <c r="P49" s="4"/>
      <c r="Q49" s="12"/>
      <c r="R49" s="4"/>
      <c r="S49" s="4"/>
      <c r="T49" s="4"/>
      <c r="U49" s="4"/>
      <c r="V49" s="4"/>
      <c r="W49" s="4"/>
      <c r="X49" s="4"/>
      <c r="Y49" s="4"/>
      <c r="Z49" s="4"/>
      <c r="AA49" s="4"/>
    </row>
    <row r="50" spans="1:27" ht="12.75">
      <c r="A50" s="7"/>
      <c r="B50" s="11"/>
      <c r="C50" s="94"/>
      <c r="D50" s="493" t="s">
        <v>62</v>
      </c>
      <c r="E50" s="503"/>
      <c r="F50" s="503"/>
      <c r="G50" s="503"/>
      <c r="H50" s="503"/>
      <c r="I50" s="503"/>
      <c r="J50" s="503"/>
      <c r="K50" s="503"/>
      <c r="L50" s="503"/>
      <c r="M50" s="503"/>
      <c r="N50" s="503"/>
      <c r="O50" s="503"/>
      <c r="P50" s="4"/>
      <c r="Q50" s="12"/>
      <c r="R50" s="4"/>
      <c r="S50" s="4"/>
      <c r="T50" s="4"/>
      <c r="U50" s="4"/>
      <c r="V50" s="4"/>
      <c r="W50" s="4"/>
      <c r="X50" s="4"/>
      <c r="Y50" s="4"/>
      <c r="Z50" s="4"/>
      <c r="AA50" s="4"/>
    </row>
    <row r="51" spans="1:27" ht="12.75">
      <c r="A51" s="7"/>
      <c r="B51" s="11"/>
      <c r="C51" s="94"/>
      <c r="D51" s="157"/>
      <c r="E51" s="100"/>
      <c r="F51" s="100"/>
      <c r="G51" s="100"/>
      <c r="H51" s="100"/>
      <c r="I51" s="100"/>
      <c r="J51" s="100"/>
      <c r="K51" s="94"/>
      <c r="L51" s="94"/>
      <c r="M51" s="94"/>
      <c r="N51" s="94"/>
      <c r="O51" s="94"/>
      <c r="P51" s="4"/>
      <c r="Q51" s="12"/>
      <c r="R51" s="4"/>
      <c r="S51" s="4"/>
      <c r="T51" s="4"/>
      <c r="U51" s="4"/>
      <c r="V51" s="4"/>
      <c r="W51" s="4"/>
      <c r="X51" s="4"/>
      <c r="Y51" s="4"/>
      <c r="Z51" s="4"/>
      <c r="AA51" s="4"/>
    </row>
    <row r="52" spans="1:27" ht="12.75">
      <c r="A52" s="7"/>
      <c r="B52" s="11"/>
      <c r="C52" s="94"/>
      <c r="D52" s="157"/>
      <c r="E52" s="489"/>
      <c r="F52" s="490"/>
      <c r="G52" s="490"/>
      <c r="H52" s="490"/>
      <c r="I52" s="489"/>
      <c r="J52" s="149"/>
      <c r="K52" s="149"/>
      <c r="L52" s="94"/>
      <c r="M52" s="94"/>
      <c r="N52" s="94"/>
      <c r="O52" s="94"/>
      <c r="P52" s="4"/>
      <c r="Q52" s="12"/>
      <c r="R52" s="4"/>
      <c r="S52" s="4"/>
      <c r="T52" s="4"/>
      <c r="U52" s="4"/>
      <c r="V52" s="4"/>
      <c r="W52" s="4"/>
      <c r="X52" s="4"/>
      <c r="Y52" s="4"/>
      <c r="Z52" s="4"/>
      <c r="AA52" s="4"/>
    </row>
    <row r="53" spans="1:27" ht="12.75">
      <c r="A53" s="7"/>
      <c r="B53" s="11"/>
      <c r="C53" s="94"/>
      <c r="D53" s="94"/>
      <c r="E53" s="104" t="s">
        <v>22</v>
      </c>
      <c r="F53" s="159"/>
      <c r="G53" s="159"/>
      <c r="H53" s="159"/>
      <c r="I53" s="104" t="s">
        <v>12</v>
      </c>
      <c r="J53" s="159"/>
      <c r="K53" s="159"/>
      <c r="L53" s="159"/>
      <c r="M53" s="104" t="s">
        <v>53</v>
      </c>
      <c r="N53" s="159"/>
      <c r="O53" s="159"/>
      <c r="P53" s="4"/>
      <c r="Q53" s="12"/>
      <c r="R53" s="4"/>
      <c r="S53" s="4"/>
      <c r="T53" s="4"/>
      <c r="U53" s="4"/>
      <c r="V53" s="4"/>
      <c r="W53" s="4"/>
      <c r="X53" s="4"/>
      <c r="Y53" s="4"/>
      <c r="Z53" s="4"/>
      <c r="AA53" s="4"/>
    </row>
    <row r="54" spans="1:27" ht="12.75">
      <c r="A54" s="7"/>
      <c r="B54" s="11"/>
      <c r="C54" s="94"/>
      <c r="D54" s="93" t="s">
        <v>25</v>
      </c>
      <c r="E54" s="94"/>
      <c r="F54" s="94"/>
      <c r="G54" s="94"/>
      <c r="H54" s="94"/>
      <c r="I54" s="94"/>
      <c r="J54" s="94"/>
      <c r="K54" s="94"/>
      <c r="L54" s="94"/>
      <c r="M54" s="94"/>
      <c r="N54" s="94"/>
      <c r="O54" s="94"/>
      <c r="P54" s="4"/>
      <c r="Q54" s="12"/>
      <c r="R54" s="4"/>
      <c r="S54" s="4"/>
      <c r="T54" s="4"/>
      <c r="U54" s="4"/>
      <c r="V54" s="4"/>
      <c r="W54" s="4"/>
      <c r="X54" s="4"/>
      <c r="Y54" s="4"/>
      <c r="Z54" s="4"/>
      <c r="AA54" s="4"/>
    </row>
    <row r="55" spans="1:27" ht="12.75">
      <c r="A55" s="7"/>
      <c r="B55" s="11"/>
      <c r="C55" s="94"/>
      <c r="D55" s="93" t="s">
        <v>0</v>
      </c>
      <c r="E55" s="94"/>
      <c r="F55" s="94"/>
      <c r="G55" s="94"/>
      <c r="H55" s="94"/>
      <c r="I55" s="94"/>
      <c r="J55" s="94"/>
      <c r="K55" s="94"/>
      <c r="L55" s="94"/>
      <c r="M55" s="94"/>
      <c r="N55" s="94"/>
      <c r="O55" s="94"/>
      <c r="P55" s="4"/>
      <c r="Q55" s="12"/>
      <c r="R55" s="4"/>
      <c r="S55" s="4"/>
      <c r="T55" s="4"/>
      <c r="U55" s="4"/>
      <c r="V55" s="4"/>
      <c r="W55" s="4"/>
      <c r="X55" s="4"/>
      <c r="Y55" s="4"/>
      <c r="Z55" s="4"/>
      <c r="AA55" s="4"/>
    </row>
    <row r="56" spans="1:27" ht="12.75">
      <c r="A56" s="7"/>
      <c r="B56" s="11"/>
      <c r="C56" s="94"/>
      <c r="D56" s="94" t="s">
        <v>27</v>
      </c>
      <c r="E56" s="111">
        <f>SUM(BalanceSheets!E11)</f>
        <v>445023.5</v>
      </c>
      <c r="F56" s="161"/>
      <c r="G56" s="464">
        <f>E56/$E$71</f>
        <v>0.10309066878334995</v>
      </c>
      <c r="H56" s="161"/>
      <c r="I56" s="111">
        <f>SUM(BalanceSheets!G11)</f>
        <v>118548.75</v>
      </c>
      <c r="J56" s="161"/>
      <c r="K56" s="464">
        <f>I56/$I$71</f>
        <v>0.027446816601644268</v>
      </c>
      <c r="L56" s="161"/>
      <c r="M56" s="111">
        <f>SUM(BalanceSheets!I11)</f>
        <v>261000</v>
      </c>
      <c r="N56" s="161"/>
      <c r="O56" s="464">
        <f>M56/$M$71</f>
        <v>0.06215317160966951</v>
      </c>
      <c r="P56" s="4"/>
      <c r="Q56" s="12"/>
      <c r="R56" s="4"/>
      <c r="S56" s="4"/>
      <c r="T56" s="4"/>
      <c r="U56" s="4"/>
      <c r="V56" s="4"/>
      <c r="W56" s="4"/>
      <c r="X56" s="4"/>
      <c r="Y56" s="4"/>
      <c r="Z56" s="4"/>
      <c r="AA56" s="4"/>
    </row>
    <row r="57" spans="1:27" ht="12.75">
      <c r="A57" s="7"/>
      <c r="B57" s="11"/>
      <c r="C57" s="94"/>
      <c r="D57" s="94" t="s">
        <v>49</v>
      </c>
      <c r="E57" s="111">
        <f>SUM(BalanceSheets!E12)</f>
        <v>220000</v>
      </c>
      <c r="F57" s="161"/>
      <c r="G57" s="464">
        <f aca="true" t="shared" si="5" ref="G57:G62">E57/$E$71</f>
        <v>0.050963482001145984</v>
      </c>
      <c r="H57" s="165"/>
      <c r="I57" s="111">
        <f>SUM(BalanceSheets!G12)</f>
        <v>220000</v>
      </c>
      <c r="J57" s="165"/>
      <c r="K57" s="464">
        <f aca="true" t="shared" si="6" ref="K57:K63">I57/$I$71</f>
        <v>0.05093516087147051</v>
      </c>
      <c r="L57" s="161"/>
      <c r="M57" s="111">
        <f>SUM(BalanceSheets!I12)</f>
        <v>198500</v>
      </c>
      <c r="N57" s="165"/>
      <c r="O57" s="464">
        <f aca="true" t="shared" si="7" ref="O57:O63">M57/$M$71</f>
        <v>0.04726974928934635</v>
      </c>
      <c r="P57" s="4"/>
      <c r="Q57" s="12"/>
      <c r="R57" s="4"/>
      <c r="S57" s="4"/>
      <c r="T57" s="4"/>
      <c r="U57" s="4"/>
      <c r="V57" s="4"/>
      <c r="W57" s="4"/>
      <c r="X57" s="4"/>
      <c r="Y57" s="4"/>
      <c r="Z57" s="4"/>
      <c r="AA57" s="4"/>
    </row>
    <row r="58" spans="1:27" ht="12.75">
      <c r="A58" s="7"/>
      <c r="B58" s="11"/>
      <c r="C58" s="94"/>
      <c r="D58" s="94" t="s">
        <v>28</v>
      </c>
      <c r="E58" s="111">
        <f>SUM(BalanceSheets!E13)</f>
        <v>609960</v>
      </c>
      <c r="F58" s="161"/>
      <c r="G58" s="464">
        <f t="shared" si="5"/>
        <v>0.1412985703700864</v>
      </c>
      <c r="H58" s="161"/>
      <c r="I58" s="111">
        <f>SUM(BalanceSheets!G13)</f>
        <v>717600</v>
      </c>
      <c r="J58" s="161"/>
      <c r="K58" s="464">
        <f t="shared" si="6"/>
        <v>0.16614123382439652</v>
      </c>
      <c r="L58" s="161"/>
      <c r="M58" s="111">
        <f>SUM(BalanceSheets!I13)</f>
        <v>271503</v>
      </c>
      <c r="N58" s="161"/>
      <c r="O58" s="464">
        <f t="shared" si="7"/>
        <v>0.06465430096375517</v>
      </c>
      <c r="P58" s="4"/>
      <c r="Q58" s="12"/>
      <c r="R58" s="4"/>
      <c r="S58" s="4"/>
      <c r="T58" s="4"/>
      <c r="U58" s="4"/>
      <c r="V58" s="4"/>
      <c r="W58" s="4"/>
      <c r="X58" s="4"/>
      <c r="Y58" s="4"/>
      <c r="Z58" s="4"/>
      <c r="AA58" s="4"/>
    </row>
    <row r="59" spans="1:27" ht="12.75">
      <c r="A59" s="7"/>
      <c r="B59" s="11"/>
      <c r="C59" s="94"/>
      <c r="D59" s="94" t="s">
        <v>56</v>
      </c>
      <c r="E59" s="111">
        <f>SUM(BalanceSheets!E14)</f>
        <v>91573</v>
      </c>
      <c r="F59" s="106"/>
      <c r="G59" s="464">
        <f t="shared" si="5"/>
        <v>0.02121308607859519</v>
      </c>
      <c r="H59" s="106"/>
      <c r="I59" s="111">
        <f>SUM(BalanceSheets!G14)</f>
        <v>88808</v>
      </c>
      <c r="J59" s="106"/>
      <c r="K59" s="464">
        <f t="shared" si="6"/>
        <v>0.0205611353030616</v>
      </c>
      <c r="L59" s="106"/>
      <c r="M59" s="111">
        <f>SUM(BalanceSheets!I14)</f>
        <v>104480</v>
      </c>
      <c r="N59" s="106"/>
      <c r="O59" s="464">
        <f t="shared" si="7"/>
        <v>0.024880319424437816</v>
      </c>
      <c r="P59" s="4"/>
      <c r="Q59" s="12"/>
      <c r="R59" s="4"/>
      <c r="S59" s="4"/>
      <c r="T59" s="4"/>
      <c r="U59" s="4"/>
      <c r="V59" s="4"/>
      <c r="W59" s="4"/>
      <c r="X59" s="4"/>
      <c r="Y59" s="4"/>
      <c r="Z59" s="4"/>
      <c r="AA59" s="4"/>
    </row>
    <row r="60" spans="1:27" ht="12.75">
      <c r="A60" s="7"/>
      <c r="B60" s="11"/>
      <c r="C60" s="94"/>
      <c r="D60" s="94" t="s">
        <v>57</v>
      </c>
      <c r="E60" s="111">
        <f>SUM(BalanceSheets!E15)</f>
        <v>130260</v>
      </c>
      <c r="F60" s="106"/>
      <c r="G60" s="464">
        <f t="shared" si="5"/>
        <v>0.030175014388496707</v>
      </c>
      <c r="H60" s="106"/>
      <c r="I60" s="111">
        <f>SUM(BalanceSheets!G15)</f>
        <v>130260</v>
      </c>
      <c r="J60" s="106"/>
      <c r="K60" s="464">
        <f t="shared" si="6"/>
        <v>0.03015824570508067</v>
      </c>
      <c r="L60" s="106"/>
      <c r="M60" s="111">
        <f>SUM(BalanceSheets!I15)</f>
        <v>98820</v>
      </c>
      <c r="N60" s="161"/>
      <c r="O60" s="464">
        <f t="shared" si="7"/>
        <v>0.023532476699109354</v>
      </c>
      <c r="P60" s="4"/>
      <c r="Q60" s="12"/>
      <c r="R60" s="4"/>
      <c r="S60" s="4"/>
      <c r="T60" s="4"/>
      <c r="U60" s="4"/>
      <c r="V60" s="4"/>
      <c r="W60" s="4"/>
      <c r="X60" s="4"/>
      <c r="Y60" s="4"/>
      <c r="Z60" s="4"/>
      <c r="AA60" s="4"/>
    </row>
    <row r="61" spans="1:27" ht="12.75">
      <c r="A61" s="7"/>
      <c r="B61" s="11"/>
      <c r="C61" s="94"/>
      <c r="D61" s="94" t="s">
        <v>58</v>
      </c>
      <c r="E61" s="111">
        <f>SUM(BalanceSheets!E16)</f>
        <v>0</v>
      </c>
      <c r="F61" s="94"/>
      <c r="G61" s="464">
        <f t="shared" si="5"/>
        <v>0</v>
      </c>
      <c r="H61" s="94"/>
      <c r="I61" s="111">
        <f>SUM(BalanceSheets!G16)</f>
        <v>0</v>
      </c>
      <c r="J61" s="94"/>
      <c r="K61" s="464">
        <f t="shared" si="6"/>
        <v>0</v>
      </c>
      <c r="L61" s="94"/>
      <c r="M61" s="111">
        <f>SUM(BalanceSheets!I16)</f>
        <v>0</v>
      </c>
      <c r="N61" s="106"/>
      <c r="O61" s="464">
        <f t="shared" si="7"/>
        <v>0</v>
      </c>
      <c r="P61" s="4"/>
      <c r="Q61" s="12"/>
      <c r="R61" s="4"/>
      <c r="S61" s="4"/>
      <c r="T61" s="4"/>
      <c r="U61" s="4"/>
      <c r="V61" s="4"/>
      <c r="W61" s="4"/>
      <c r="X61" s="4"/>
      <c r="Y61" s="4"/>
      <c r="Z61" s="4"/>
      <c r="AA61" s="4"/>
    </row>
    <row r="62" spans="1:27" ht="12.75">
      <c r="A62" s="7"/>
      <c r="B62" s="11"/>
      <c r="C62" s="94"/>
      <c r="D62" s="94" t="s">
        <v>29</v>
      </c>
      <c r="E62" s="111">
        <f>SUM(BalanceSheets!E17)</f>
        <v>110000</v>
      </c>
      <c r="F62" s="161"/>
      <c r="G62" s="464">
        <f t="shared" si="5"/>
        <v>0.025481741000572992</v>
      </c>
      <c r="H62" s="161"/>
      <c r="I62" s="111">
        <f>SUM(BalanceSheets!G17)</f>
        <v>104000</v>
      </c>
      <c r="J62" s="161"/>
      <c r="K62" s="464">
        <f t="shared" si="6"/>
        <v>0.024078439684695148</v>
      </c>
      <c r="L62" s="161"/>
      <c r="M62" s="111">
        <f>SUM(BalanceSheets!I17)</f>
        <v>95000</v>
      </c>
      <c r="N62" s="161"/>
      <c r="O62" s="464">
        <f t="shared" si="7"/>
        <v>0.0226228019268912</v>
      </c>
      <c r="P62" s="4"/>
      <c r="Q62" s="12"/>
      <c r="R62" s="4"/>
      <c r="S62" s="4"/>
      <c r="T62" s="4"/>
      <c r="U62" s="4"/>
      <c r="V62" s="4"/>
      <c r="W62" s="4"/>
      <c r="X62" s="4"/>
      <c r="Y62" s="4"/>
      <c r="Z62" s="4"/>
      <c r="AA62" s="4"/>
    </row>
    <row r="63" spans="1:27" ht="12.75">
      <c r="A63" s="7"/>
      <c r="B63" s="11"/>
      <c r="C63" s="94"/>
      <c r="D63" s="93" t="s">
        <v>30</v>
      </c>
      <c r="E63" s="192">
        <f>SUM(E56:E62)</f>
        <v>1606816.5</v>
      </c>
      <c r="F63" s="161"/>
      <c r="G63" s="465">
        <f>E63/$E$71</f>
        <v>0.3722225626222472</v>
      </c>
      <c r="H63" s="161"/>
      <c r="I63" s="192">
        <f>SUM(I56:I62)</f>
        <v>1379216.75</v>
      </c>
      <c r="J63" s="161"/>
      <c r="K63" s="465">
        <f t="shared" si="6"/>
        <v>0.3193210319903487</v>
      </c>
      <c r="L63" s="161"/>
      <c r="M63" s="192">
        <f>SUM(M56:M62)</f>
        <v>1029303</v>
      </c>
      <c r="N63" s="161"/>
      <c r="O63" s="465">
        <f t="shared" si="7"/>
        <v>0.2451128199132094</v>
      </c>
      <c r="P63" s="4"/>
      <c r="Q63" s="12"/>
      <c r="R63" s="4"/>
      <c r="S63" s="4"/>
      <c r="T63" s="4"/>
      <c r="U63" s="4"/>
      <c r="V63" s="4"/>
      <c r="W63" s="4"/>
      <c r="X63" s="4"/>
      <c r="Y63" s="4"/>
      <c r="Z63" s="4"/>
      <c r="AA63" s="4"/>
    </row>
    <row r="64" spans="1:27" ht="12.75">
      <c r="A64" s="7"/>
      <c r="B64" s="11"/>
      <c r="C64" s="94"/>
      <c r="D64" s="94"/>
      <c r="E64" s="111"/>
      <c r="F64" s="111"/>
      <c r="G64" s="197"/>
      <c r="H64" s="111"/>
      <c r="I64" s="111"/>
      <c r="J64" s="111"/>
      <c r="K64" s="197"/>
      <c r="L64" s="111"/>
      <c r="M64" s="111"/>
      <c r="N64" s="111"/>
      <c r="O64" s="197"/>
      <c r="P64" s="4"/>
      <c r="Q64" s="12"/>
      <c r="R64" s="4"/>
      <c r="S64" s="4"/>
      <c r="T64" s="4"/>
      <c r="U64" s="4"/>
      <c r="V64" s="4"/>
      <c r="W64" s="4"/>
      <c r="X64" s="4"/>
      <c r="Y64" s="4"/>
      <c r="Z64" s="4"/>
      <c r="AA64" s="4"/>
    </row>
    <row r="65" spans="1:27" ht="12.75">
      <c r="A65" s="7"/>
      <c r="B65" s="11"/>
      <c r="C65" s="94"/>
      <c r="D65" s="93" t="s">
        <v>26</v>
      </c>
      <c r="E65" s="111">
        <f>SUM(BalanceSheets!E20)</f>
        <v>100000</v>
      </c>
      <c r="F65" s="111"/>
      <c r="G65" s="464">
        <f aca="true" t="shared" si="8" ref="G65:G70">E65/$E$71</f>
        <v>0.023165219091429993</v>
      </c>
      <c r="H65" s="143"/>
      <c r="I65" s="111">
        <f>SUM(BalanceSheets!G20)</f>
        <v>100000</v>
      </c>
      <c r="J65" s="143"/>
      <c r="K65" s="464">
        <f aca="true" t="shared" si="9" ref="K65:K71">I65/$I$71</f>
        <v>0.023152345850668412</v>
      </c>
      <c r="L65" s="111"/>
      <c r="M65" s="111">
        <f>SUM(BalanceSheets!I20)</f>
        <v>100000</v>
      </c>
      <c r="N65" s="143"/>
      <c r="O65" s="464">
        <f aca="true" t="shared" si="10" ref="O65:O71">M65/$M$71</f>
        <v>0.023813475712517053</v>
      </c>
      <c r="P65" s="4"/>
      <c r="Q65" s="12"/>
      <c r="R65" s="4"/>
      <c r="S65" s="4"/>
      <c r="T65" s="4"/>
      <c r="U65" s="4"/>
      <c r="V65" s="4"/>
      <c r="W65" s="4"/>
      <c r="X65" s="4"/>
      <c r="Y65" s="4"/>
      <c r="Z65" s="4"/>
      <c r="AA65" s="4"/>
    </row>
    <row r="66" spans="1:27" ht="12.75">
      <c r="A66" s="7"/>
      <c r="B66" s="11"/>
      <c r="C66" s="94"/>
      <c r="D66" s="94" t="s">
        <v>31</v>
      </c>
      <c r="E66" s="111">
        <f>SUM(BalanceSheets!E21)</f>
        <v>2000000</v>
      </c>
      <c r="F66" s="161"/>
      <c r="G66" s="464">
        <f t="shared" si="8"/>
        <v>0.46330438182859984</v>
      </c>
      <c r="H66" s="161"/>
      <c r="I66" s="111">
        <f>SUM(BalanceSheets!G21)</f>
        <v>2000000</v>
      </c>
      <c r="J66" s="161"/>
      <c r="K66" s="464">
        <f t="shared" si="9"/>
        <v>0.4630469170133682</v>
      </c>
      <c r="L66" s="161"/>
      <c r="M66" s="111">
        <f>SUM(BalanceSheets!I21)</f>
        <v>2000000</v>
      </c>
      <c r="N66" s="161"/>
      <c r="O66" s="464">
        <f t="shared" si="10"/>
        <v>0.4762695142503411</v>
      </c>
      <c r="P66" s="4"/>
      <c r="Q66" s="12"/>
      <c r="R66" s="4"/>
      <c r="S66" s="4"/>
      <c r="T66" s="4"/>
      <c r="U66" s="4"/>
      <c r="V66" s="4"/>
      <c r="W66" s="4"/>
      <c r="X66" s="4"/>
      <c r="Y66" s="4"/>
      <c r="Z66" s="4"/>
      <c r="AA66" s="4"/>
    </row>
    <row r="67" spans="1:27" ht="12.75">
      <c r="A67" s="7"/>
      <c r="B67" s="11"/>
      <c r="C67" s="94"/>
      <c r="D67" s="94" t="s">
        <v>59</v>
      </c>
      <c r="E67" s="111">
        <f>SUM(BalanceSheets!E23)</f>
        <v>500000</v>
      </c>
      <c r="F67" s="111"/>
      <c r="G67" s="464">
        <f t="shared" si="8"/>
        <v>0.11582609545714996</v>
      </c>
      <c r="H67" s="111"/>
      <c r="I67" s="111">
        <f>SUM(BalanceSheets!G23)</f>
        <v>500000</v>
      </c>
      <c r="J67" s="111"/>
      <c r="K67" s="464">
        <f t="shared" si="9"/>
        <v>0.11576172925334205</v>
      </c>
      <c r="L67" s="111"/>
      <c r="M67" s="111">
        <f>SUM(BalanceSheets!I23)</f>
        <v>500000</v>
      </c>
      <c r="N67" s="161"/>
      <c r="O67" s="464">
        <f t="shared" si="10"/>
        <v>0.11906737856258527</v>
      </c>
      <c r="P67" s="4"/>
      <c r="Q67" s="12"/>
      <c r="R67" s="4"/>
      <c r="S67" s="4"/>
      <c r="T67" s="4"/>
      <c r="U67" s="4"/>
      <c r="V67" s="4"/>
      <c r="W67" s="4"/>
      <c r="X67" s="4"/>
      <c r="Y67" s="4"/>
      <c r="Z67" s="4"/>
      <c r="AA67" s="4"/>
    </row>
    <row r="68" spans="1:27" ht="12.75">
      <c r="A68" s="7"/>
      <c r="B68" s="11"/>
      <c r="C68" s="94"/>
      <c r="D68" s="94" t="s">
        <v>32</v>
      </c>
      <c r="E68" s="192">
        <f>SUM(E65:E67)</f>
        <v>2600000</v>
      </c>
      <c r="F68" s="111"/>
      <c r="G68" s="465">
        <f t="shared" si="8"/>
        <v>0.6022956963771798</v>
      </c>
      <c r="H68" s="111"/>
      <c r="I68" s="192">
        <f>SUM(I65:I67)</f>
        <v>2600000</v>
      </c>
      <c r="J68" s="111"/>
      <c r="K68" s="465">
        <f t="shared" si="9"/>
        <v>0.6019609921173786</v>
      </c>
      <c r="L68" s="111"/>
      <c r="M68" s="192">
        <f>SUM(M65:M67)</f>
        <v>2600000</v>
      </c>
      <c r="N68" s="161"/>
      <c r="O68" s="465">
        <f t="shared" si="10"/>
        <v>0.6191503685254434</v>
      </c>
      <c r="P68" s="4"/>
      <c r="Q68" s="12"/>
      <c r="R68" s="4"/>
      <c r="S68" s="4"/>
      <c r="T68" s="4"/>
      <c r="U68" s="4"/>
      <c r="V68" s="4"/>
      <c r="W68" s="4"/>
      <c r="X68" s="4"/>
      <c r="Y68" s="4"/>
      <c r="Z68" s="4"/>
      <c r="AA68" s="4"/>
    </row>
    <row r="69" spans="1:27" ht="12.75">
      <c r="A69" s="7"/>
      <c r="B69" s="11"/>
      <c r="C69" s="94"/>
      <c r="D69" s="94" t="s">
        <v>33</v>
      </c>
      <c r="E69" s="199">
        <f>SUM(BalanceSheets!E25)</f>
        <v>-690000</v>
      </c>
      <c r="F69" s="111"/>
      <c r="G69" s="464">
        <f t="shared" si="8"/>
        <v>-0.15984001173086695</v>
      </c>
      <c r="H69" s="111"/>
      <c r="I69" s="198">
        <f>SUM(BalanceSheets!G25)</f>
        <v>-460000</v>
      </c>
      <c r="J69" s="111"/>
      <c r="K69" s="464">
        <f t="shared" si="9"/>
        <v>-0.1065007909130747</v>
      </c>
      <c r="L69" s="111"/>
      <c r="M69" s="111">
        <f>SUM(BalanceSheets!I25)</f>
        <v>-230000</v>
      </c>
      <c r="N69" s="161"/>
      <c r="O69" s="464">
        <f t="shared" si="10"/>
        <v>-0.05477099413878922</v>
      </c>
      <c r="P69" s="4"/>
      <c r="Q69" s="12"/>
      <c r="R69" s="4"/>
      <c r="S69" s="4"/>
      <c r="T69" s="4"/>
      <c r="U69" s="4"/>
      <c r="V69" s="4"/>
      <c r="W69" s="4"/>
      <c r="X69" s="4"/>
      <c r="Y69" s="4"/>
      <c r="Z69" s="4"/>
      <c r="AA69" s="4"/>
    </row>
    <row r="70" spans="1:27" ht="12.75">
      <c r="A70" s="7"/>
      <c r="B70" s="11"/>
      <c r="C70" s="94"/>
      <c r="D70" s="94" t="s">
        <v>34</v>
      </c>
      <c r="E70" s="111">
        <f>SUM(BalanceSheets!E26)</f>
        <v>2710000</v>
      </c>
      <c r="F70" s="111"/>
      <c r="G70" s="464">
        <f t="shared" si="8"/>
        <v>0.6277774373777528</v>
      </c>
      <c r="H70" s="111"/>
      <c r="I70" s="111">
        <f>SUM(BalanceSheets!G26)</f>
        <v>2940000</v>
      </c>
      <c r="J70" s="111"/>
      <c r="K70" s="464">
        <f t="shared" si="9"/>
        <v>0.6806789680096513</v>
      </c>
      <c r="L70" s="111"/>
      <c r="M70" s="111">
        <f>SUM(BalanceSheets!I26)</f>
        <v>3170000</v>
      </c>
      <c r="N70" s="161"/>
      <c r="O70" s="464">
        <f t="shared" si="10"/>
        <v>0.7548871800867906</v>
      </c>
      <c r="P70" s="4"/>
      <c r="Q70" s="12"/>
      <c r="R70" s="4"/>
      <c r="S70" s="4"/>
      <c r="T70" s="4"/>
      <c r="U70" s="4"/>
      <c r="V70" s="4"/>
      <c r="W70" s="4"/>
      <c r="X70" s="4"/>
      <c r="Y70" s="4"/>
      <c r="Z70" s="4"/>
      <c r="AA70" s="4"/>
    </row>
    <row r="71" spans="1:27" ht="13.5" thickBot="1">
      <c r="A71" s="7"/>
      <c r="B71" s="11"/>
      <c r="C71" s="94"/>
      <c r="D71" s="93" t="s">
        <v>35</v>
      </c>
      <c r="E71" s="194">
        <f>E63+E70</f>
        <v>4316816.5</v>
      </c>
      <c r="F71" s="161"/>
      <c r="G71" s="466">
        <f>E71/$E$71</f>
        <v>1</v>
      </c>
      <c r="H71" s="161"/>
      <c r="I71" s="194">
        <f>I63+I70</f>
        <v>4319216.75</v>
      </c>
      <c r="J71" s="161"/>
      <c r="K71" s="466">
        <f t="shared" si="9"/>
        <v>1</v>
      </c>
      <c r="L71" s="161"/>
      <c r="M71" s="194">
        <f>M63+M70</f>
        <v>4199303</v>
      </c>
      <c r="N71" s="161"/>
      <c r="O71" s="466">
        <f t="shared" si="10"/>
        <v>1</v>
      </c>
      <c r="P71" s="4"/>
      <c r="Q71" s="12"/>
      <c r="R71" s="4"/>
      <c r="S71" s="4"/>
      <c r="T71" s="4"/>
      <c r="U71" s="4"/>
      <c r="V71" s="4"/>
      <c r="W71" s="4"/>
      <c r="X71" s="4"/>
      <c r="Y71" s="4"/>
      <c r="Z71" s="4"/>
      <c r="AA71" s="4"/>
    </row>
    <row r="72" spans="1:27" ht="13.5" thickTop="1">
      <c r="A72" s="7"/>
      <c r="B72" s="11"/>
      <c r="C72" s="94"/>
      <c r="D72" s="94"/>
      <c r="E72" s="111"/>
      <c r="F72" s="111"/>
      <c r="G72" s="197"/>
      <c r="H72" s="111"/>
      <c r="I72" s="111"/>
      <c r="J72" s="111"/>
      <c r="K72" s="197"/>
      <c r="L72" s="111"/>
      <c r="M72" s="111"/>
      <c r="N72" s="161"/>
      <c r="O72" s="197"/>
      <c r="P72" s="4"/>
      <c r="Q72" s="12"/>
      <c r="R72" s="4"/>
      <c r="S72" s="4"/>
      <c r="T72" s="4"/>
      <c r="U72" s="4"/>
      <c r="V72" s="4"/>
      <c r="W72" s="4"/>
      <c r="X72" s="4"/>
      <c r="Y72" s="4"/>
      <c r="Z72" s="4"/>
      <c r="AA72" s="4"/>
    </row>
    <row r="73" spans="1:27" ht="12.75">
      <c r="A73" s="7"/>
      <c r="B73" s="11"/>
      <c r="C73" s="94"/>
      <c r="D73" s="93" t="s">
        <v>36</v>
      </c>
      <c r="E73" s="111"/>
      <c r="F73" s="111"/>
      <c r="G73" s="197"/>
      <c r="H73" s="111"/>
      <c r="I73" s="111"/>
      <c r="J73" s="111"/>
      <c r="K73" s="197"/>
      <c r="L73" s="111"/>
      <c r="M73" s="111"/>
      <c r="N73" s="161"/>
      <c r="O73" s="197"/>
      <c r="P73" s="4"/>
      <c r="Q73" s="12"/>
      <c r="R73" s="4"/>
      <c r="S73" s="4"/>
      <c r="T73" s="4"/>
      <c r="U73" s="4"/>
      <c r="V73" s="4"/>
      <c r="W73" s="4"/>
      <c r="X73" s="4"/>
      <c r="Y73" s="4"/>
      <c r="Z73" s="4"/>
      <c r="AA73" s="4"/>
    </row>
    <row r="74" spans="1:27" ht="12.75">
      <c r="A74" s="7"/>
      <c r="B74" s="11"/>
      <c r="C74" s="94"/>
      <c r="D74" s="93" t="s">
        <v>1</v>
      </c>
      <c r="E74" s="187" t="s">
        <v>2</v>
      </c>
      <c r="F74" s="161"/>
      <c r="G74" s="197"/>
      <c r="H74" s="161"/>
      <c r="I74" s="111"/>
      <c r="J74" s="161"/>
      <c r="K74" s="197"/>
      <c r="L74" s="161"/>
      <c r="M74" s="111"/>
      <c r="N74" s="161"/>
      <c r="O74" s="197"/>
      <c r="P74" s="4"/>
      <c r="Q74" s="12"/>
      <c r="R74" s="4"/>
      <c r="S74" s="4"/>
      <c r="T74" s="4"/>
      <c r="U74" s="4"/>
      <c r="V74" s="4"/>
      <c r="W74" s="4"/>
      <c r="X74" s="4"/>
      <c r="Y74" s="4"/>
      <c r="Z74" s="4"/>
      <c r="AA74" s="4"/>
    </row>
    <row r="75" spans="1:27" ht="12.75">
      <c r="A75" s="7"/>
      <c r="B75" s="11"/>
      <c r="C75" s="94"/>
      <c r="D75" s="94" t="s">
        <v>40</v>
      </c>
      <c r="E75" s="111">
        <f>SUM(BalanceSheets!E31)</f>
        <v>261200</v>
      </c>
      <c r="F75" s="111"/>
      <c r="G75" s="464">
        <f>E75/$E$71</f>
        <v>0.06050755226681514</v>
      </c>
      <c r="H75" s="111"/>
      <c r="I75" s="111">
        <f>SUM(BalanceSheets!G31)</f>
        <v>195900</v>
      </c>
      <c r="J75" s="161"/>
      <c r="K75" s="464">
        <f>I75/$I$71</f>
        <v>0.04535544552145942</v>
      </c>
      <c r="L75" s="111"/>
      <c r="M75" s="111">
        <f>SUM(BalanceSheets!I31)</f>
        <v>67080</v>
      </c>
      <c r="N75" s="161"/>
      <c r="O75" s="464">
        <f>M75/$M$71</f>
        <v>0.01597407950795644</v>
      </c>
      <c r="P75" s="4"/>
      <c r="Q75" s="12"/>
      <c r="R75" s="4"/>
      <c r="S75" s="4"/>
      <c r="T75" s="4"/>
      <c r="U75" s="4"/>
      <c r="V75" s="4"/>
      <c r="W75" s="4"/>
      <c r="X75" s="4"/>
      <c r="Y75" s="4"/>
      <c r="Z75" s="4"/>
      <c r="AA75" s="4"/>
    </row>
    <row r="76" spans="1:27" ht="12.75">
      <c r="A76" s="7"/>
      <c r="B76" s="11"/>
      <c r="C76" s="94"/>
      <c r="D76" s="94" t="s">
        <v>37</v>
      </c>
      <c r="E76" s="111">
        <f>SUM(BalanceSheets!E32)</f>
        <v>13000</v>
      </c>
      <c r="F76" s="111"/>
      <c r="G76" s="464">
        <f>E76/$E$71</f>
        <v>0.003011478481885899</v>
      </c>
      <c r="H76" s="143"/>
      <c r="I76" s="111">
        <f>SUM(BalanceSheets!G32)</f>
        <v>12800</v>
      </c>
      <c r="J76" s="143"/>
      <c r="K76" s="464">
        <f>I76/$I$71</f>
        <v>0.0029635002688855566</v>
      </c>
      <c r="L76" s="111"/>
      <c r="M76" s="111">
        <f>SUM(BalanceSheets!I32)</f>
        <v>16000</v>
      </c>
      <c r="N76" s="165"/>
      <c r="O76" s="464">
        <f>M76/$M$71</f>
        <v>0.0038101561140027286</v>
      </c>
      <c r="P76" s="4"/>
      <c r="Q76" s="12"/>
      <c r="R76" s="4"/>
      <c r="S76" s="4"/>
      <c r="T76" s="4"/>
      <c r="U76" s="4"/>
      <c r="V76" s="4"/>
      <c r="W76" s="4"/>
      <c r="X76" s="4"/>
      <c r="Y76" s="4"/>
      <c r="Z76" s="4"/>
      <c r="AA76" s="4"/>
    </row>
    <row r="77" spans="1:27" ht="12.75">
      <c r="A77" s="7"/>
      <c r="B77" s="11"/>
      <c r="C77" s="94"/>
      <c r="D77" s="94" t="s">
        <v>38</v>
      </c>
      <c r="E77" s="111">
        <f>SUM(BalanceSheets!E33)</f>
        <v>26000</v>
      </c>
      <c r="F77" s="161"/>
      <c r="G77" s="464">
        <f>E77/$E$71</f>
        <v>0.006022956963771798</v>
      </c>
      <c r="H77" s="161"/>
      <c r="I77" s="111">
        <f>SUM(BalanceSheets!G33)</f>
        <v>25000</v>
      </c>
      <c r="J77" s="161"/>
      <c r="K77" s="464">
        <f>I77/$I$71</f>
        <v>0.005788086462667103</v>
      </c>
      <c r="L77" s="161"/>
      <c r="M77" s="111">
        <f>SUM(BalanceSheets!I33)</f>
        <v>22000</v>
      </c>
      <c r="N77" s="161"/>
      <c r="O77" s="464">
        <f>M77/$M$71</f>
        <v>0.005238964656753752</v>
      </c>
      <c r="P77" s="4"/>
      <c r="Q77" s="12"/>
      <c r="R77" s="4"/>
      <c r="S77" s="4"/>
      <c r="T77" s="4"/>
      <c r="U77" s="4"/>
      <c r="V77" s="4"/>
      <c r="W77" s="4"/>
      <c r="X77" s="4"/>
      <c r="Y77" s="4"/>
      <c r="Z77" s="4"/>
      <c r="AA77" s="4"/>
    </row>
    <row r="78" spans="1:27" ht="12.75">
      <c r="A78" s="7"/>
      <c r="B78" s="11"/>
      <c r="C78" s="94"/>
      <c r="D78" s="94" t="s">
        <v>39</v>
      </c>
      <c r="E78" s="192">
        <f>SUM(E75:E77)</f>
        <v>300200</v>
      </c>
      <c r="F78" s="111"/>
      <c r="G78" s="465">
        <f>E78/$E$71</f>
        <v>0.06954198771247284</v>
      </c>
      <c r="H78" s="111"/>
      <c r="I78" s="192">
        <f>SUM(I75:I77)</f>
        <v>233700</v>
      </c>
      <c r="J78" s="111"/>
      <c r="K78" s="465">
        <f>I78/$I$71</f>
        <v>0.054107032253012076</v>
      </c>
      <c r="L78" s="111"/>
      <c r="M78" s="192">
        <f>SUM(M75:M77)</f>
        <v>105080</v>
      </c>
      <c r="N78" s="111"/>
      <c r="O78" s="465">
        <f>M78/$M$71</f>
        <v>0.02502320027871292</v>
      </c>
      <c r="P78" s="4"/>
      <c r="Q78" s="12"/>
      <c r="R78" s="4"/>
      <c r="S78" s="4"/>
      <c r="T78" s="4"/>
      <c r="U78" s="4"/>
      <c r="V78" s="4"/>
      <c r="W78" s="4"/>
      <c r="X78" s="4"/>
      <c r="Y78" s="4"/>
      <c r="Z78" s="4"/>
      <c r="AA78" s="4"/>
    </row>
    <row r="79" spans="1:27" ht="12.75">
      <c r="A79" s="7"/>
      <c r="B79" s="11"/>
      <c r="C79" s="94"/>
      <c r="D79" s="93" t="s">
        <v>9</v>
      </c>
      <c r="E79" s="111"/>
      <c r="F79" s="161"/>
      <c r="G79" s="197"/>
      <c r="H79" s="165"/>
      <c r="I79" s="111"/>
      <c r="J79" s="165"/>
      <c r="K79" s="197"/>
      <c r="L79" s="161"/>
      <c r="M79" s="111"/>
      <c r="N79" s="165"/>
      <c r="O79" s="197"/>
      <c r="P79" s="4"/>
      <c r="Q79" s="12"/>
      <c r="R79" s="4"/>
      <c r="S79" s="4"/>
      <c r="T79" s="4"/>
      <c r="U79" s="4"/>
      <c r="V79" s="4"/>
      <c r="W79" s="4"/>
      <c r="X79" s="4"/>
      <c r="Y79" s="4"/>
      <c r="Z79" s="4"/>
      <c r="AA79" s="4"/>
    </row>
    <row r="80" spans="1:27" ht="12.75">
      <c r="A80" s="7"/>
      <c r="B80" s="11"/>
      <c r="C80" s="94"/>
      <c r="D80" s="94" t="s">
        <v>85</v>
      </c>
      <c r="E80" s="111">
        <f>SUM(BalanceSheets!E36)</f>
        <v>1600000</v>
      </c>
      <c r="F80" s="161"/>
      <c r="G80" s="464">
        <f>E80/$E$71</f>
        <v>0.3706435054628799</v>
      </c>
      <c r="H80" s="165"/>
      <c r="I80" s="111">
        <f>SUM(BalanceSheets!G36)</f>
        <v>1700000</v>
      </c>
      <c r="J80" s="161"/>
      <c r="K80" s="464">
        <f>I80/$I$71</f>
        <v>0.393589879461363</v>
      </c>
      <c r="L80" s="161"/>
      <c r="M80" s="111">
        <f>SUM(BalanceSheets!I36)</f>
        <v>1800000</v>
      </c>
      <c r="N80" s="161"/>
      <c r="O80" s="464">
        <f>M80/$M$71</f>
        <v>0.42864256282530694</v>
      </c>
      <c r="P80" s="4"/>
      <c r="Q80" s="12"/>
      <c r="R80" s="4"/>
      <c r="S80" s="4"/>
      <c r="T80" s="4"/>
      <c r="U80" s="4"/>
      <c r="V80" s="4"/>
      <c r="W80" s="4"/>
      <c r="X80" s="4"/>
      <c r="Y80" s="4"/>
      <c r="Z80" s="4"/>
      <c r="AA80" s="4"/>
    </row>
    <row r="81" spans="1:27" ht="12.75">
      <c r="A81" s="7"/>
      <c r="B81" s="11"/>
      <c r="C81" s="94"/>
      <c r="D81" s="94" t="s">
        <v>41</v>
      </c>
      <c r="E81" s="111">
        <f>SUM(BalanceSheets!E37)</f>
        <v>80000</v>
      </c>
      <c r="F81" s="161"/>
      <c r="G81" s="467">
        <f>E81/$E$71</f>
        <v>0.018532175273143995</v>
      </c>
      <c r="H81" s="161"/>
      <c r="I81" s="182">
        <f>SUM(BalanceSheets!G37)</f>
        <v>85000</v>
      </c>
      <c r="J81" s="161"/>
      <c r="K81" s="467">
        <f>I81/$I$71</f>
        <v>0.01967949397306815</v>
      </c>
      <c r="L81" s="161"/>
      <c r="M81" s="111">
        <f>SUM(BalanceSheets!I37)</f>
        <v>90000</v>
      </c>
      <c r="N81" s="111"/>
      <c r="O81" s="467">
        <f>M81/$M$71</f>
        <v>0.02143212814126535</v>
      </c>
      <c r="P81" s="4"/>
      <c r="Q81" s="12"/>
      <c r="R81" s="4"/>
      <c r="S81" s="4"/>
      <c r="T81" s="4"/>
      <c r="U81" s="4"/>
      <c r="V81" s="4"/>
      <c r="W81" s="4"/>
      <c r="X81" s="4"/>
      <c r="Y81" s="4"/>
      <c r="Z81" s="4"/>
      <c r="AA81" s="4"/>
    </row>
    <row r="82" spans="1:27" ht="12.75">
      <c r="A82" s="7"/>
      <c r="B82" s="11"/>
      <c r="C82" s="94"/>
      <c r="D82" s="94" t="s">
        <v>42</v>
      </c>
      <c r="E82" s="192">
        <f>E80+E81</f>
        <v>1680000</v>
      </c>
      <c r="F82" s="161"/>
      <c r="G82" s="464">
        <f>E82/$E$71</f>
        <v>0.3891756807360239</v>
      </c>
      <c r="H82" s="161"/>
      <c r="I82" s="111">
        <f>SUM(BalanceSheets!G38)</f>
        <v>1785000</v>
      </c>
      <c r="J82" s="161"/>
      <c r="K82" s="464">
        <f>I82/$I$71</f>
        <v>0.41326937343443115</v>
      </c>
      <c r="L82" s="161"/>
      <c r="M82" s="192">
        <f>M80+M81</f>
        <v>1890000</v>
      </c>
      <c r="N82" s="111"/>
      <c r="O82" s="464">
        <f>M82/$M$71</f>
        <v>0.4500746909665723</v>
      </c>
      <c r="P82" s="4"/>
      <c r="Q82" s="12"/>
      <c r="R82" s="4"/>
      <c r="S82" s="4"/>
      <c r="T82" s="4"/>
      <c r="U82" s="4"/>
      <c r="V82" s="4"/>
      <c r="W82" s="4"/>
      <c r="X82" s="4"/>
      <c r="Y82" s="4"/>
      <c r="Z82" s="4"/>
      <c r="AA82" s="4"/>
    </row>
    <row r="83" spans="1:27" ht="12.75">
      <c r="A83" s="7"/>
      <c r="B83" s="11"/>
      <c r="C83" s="94"/>
      <c r="D83" s="93" t="s">
        <v>43</v>
      </c>
      <c r="E83" s="192">
        <f>E78+E82</f>
        <v>1980200</v>
      </c>
      <c r="F83" s="161"/>
      <c r="G83" s="465">
        <f>E83/$E$71</f>
        <v>0.4587176684484967</v>
      </c>
      <c r="H83" s="161"/>
      <c r="I83" s="192">
        <f>I78+I82</f>
        <v>2018700</v>
      </c>
      <c r="J83" s="161"/>
      <c r="K83" s="465">
        <f>I83/$I$71</f>
        <v>0.4673764056874432</v>
      </c>
      <c r="L83" s="161"/>
      <c r="M83" s="192">
        <f>M78+M82</f>
        <v>1995080</v>
      </c>
      <c r="N83" s="111"/>
      <c r="O83" s="465">
        <f>M83/$M$71</f>
        <v>0.47509789124528523</v>
      </c>
      <c r="P83" s="4"/>
      <c r="Q83" s="12"/>
      <c r="R83" s="4"/>
      <c r="S83" s="4"/>
      <c r="T83" s="4"/>
      <c r="U83" s="4"/>
      <c r="V83" s="4"/>
      <c r="W83" s="4"/>
      <c r="X83" s="4"/>
      <c r="Y83" s="4"/>
      <c r="Z83" s="4"/>
      <c r="AA83" s="4"/>
    </row>
    <row r="84" spans="1:27" ht="12.75">
      <c r="A84" s="7"/>
      <c r="B84" s="11"/>
      <c r="C84" s="94"/>
      <c r="D84" s="4"/>
      <c r="E84" s="111"/>
      <c r="F84" s="161"/>
      <c r="G84" s="197"/>
      <c r="H84" s="161"/>
      <c r="I84" s="111"/>
      <c r="J84" s="161"/>
      <c r="K84" s="197"/>
      <c r="L84" s="161"/>
      <c r="M84" s="111"/>
      <c r="N84" s="111"/>
      <c r="O84" s="197"/>
      <c r="P84" s="4"/>
      <c r="Q84" s="12"/>
      <c r="R84" s="4"/>
      <c r="S84" s="4"/>
      <c r="T84" s="4"/>
      <c r="U84" s="4"/>
      <c r="V84" s="4"/>
      <c r="W84" s="4"/>
      <c r="X84" s="4"/>
      <c r="Y84" s="4"/>
      <c r="Z84" s="4"/>
      <c r="AA84" s="4"/>
    </row>
    <row r="85" spans="1:27" ht="12.75">
      <c r="A85" s="7"/>
      <c r="B85" s="11"/>
      <c r="C85" s="94"/>
      <c r="D85" s="94"/>
      <c r="E85" s="111"/>
      <c r="F85" s="161"/>
      <c r="G85" s="197"/>
      <c r="H85" s="165"/>
      <c r="I85" s="111"/>
      <c r="J85" s="165"/>
      <c r="K85" s="197"/>
      <c r="L85" s="161"/>
      <c r="M85" s="111"/>
      <c r="N85" s="165"/>
      <c r="O85" s="197"/>
      <c r="P85" s="4"/>
      <c r="Q85" s="12"/>
      <c r="R85" s="4"/>
      <c r="S85" s="4"/>
      <c r="T85" s="4"/>
      <c r="U85" s="4"/>
      <c r="V85" s="4"/>
      <c r="W85" s="4"/>
      <c r="X85" s="4"/>
      <c r="Y85" s="4"/>
      <c r="Z85" s="4"/>
      <c r="AA85" s="4"/>
    </row>
    <row r="86" spans="1:27" ht="12.75">
      <c r="A86" s="7"/>
      <c r="B86" s="11"/>
      <c r="C86" s="94"/>
      <c r="D86" s="93" t="s">
        <v>44</v>
      </c>
      <c r="E86" s="94"/>
      <c r="F86" s="94"/>
      <c r="G86" s="197"/>
      <c r="H86" s="94"/>
      <c r="I86" s="94"/>
      <c r="J86" s="94"/>
      <c r="K86" s="197"/>
      <c r="L86" s="94"/>
      <c r="M86" s="94"/>
      <c r="N86" s="94"/>
      <c r="O86" s="197"/>
      <c r="P86" s="4"/>
      <c r="Q86" s="12"/>
      <c r="R86" s="4"/>
      <c r="S86" s="4"/>
      <c r="T86" s="4"/>
      <c r="U86" s="4"/>
      <c r="V86" s="4"/>
      <c r="W86" s="4"/>
      <c r="X86" s="4"/>
      <c r="Y86" s="4"/>
      <c r="Z86" s="4"/>
      <c r="AA86" s="4"/>
    </row>
    <row r="87" spans="1:27" ht="12.75">
      <c r="A87" s="7"/>
      <c r="B87" s="11"/>
      <c r="C87" s="94"/>
      <c r="D87" s="94" t="s">
        <v>83</v>
      </c>
      <c r="E87" s="111">
        <f>SUM(BalanceSheets!E42)</f>
        <v>1000000</v>
      </c>
      <c r="F87" s="161"/>
      <c r="G87" s="464">
        <f aca="true" t="shared" si="11" ref="G87:G92">E87/$E$71</f>
        <v>0.23165219091429992</v>
      </c>
      <c r="H87" s="161"/>
      <c r="I87" s="111">
        <f>SUM(BalanceSheets!G42)</f>
        <v>1000000</v>
      </c>
      <c r="J87" s="161"/>
      <c r="K87" s="464">
        <f aca="true" t="shared" si="12" ref="K87:K92">I87/$I$71</f>
        <v>0.2315234585066841</v>
      </c>
      <c r="L87" s="161"/>
      <c r="M87" s="111">
        <f>SUM(BalanceSheets!I42)</f>
        <v>1000000</v>
      </c>
      <c r="N87" s="161"/>
      <c r="O87" s="464">
        <f aca="true" t="shared" si="13" ref="O87:O92">M87/$M$71</f>
        <v>0.23813475712517054</v>
      </c>
      <c r="P87" s="4"/>
      <c r="Q87" s="12"/>
      <c r="R87" s="4"/>
      <c r="S87" s="4"/>
      <c r="T87" s="4"/>
      <c r="U87" s="4"/>
      <c r="V87" s="4"/>
      <c r="W87" s="4"/>
      <c r="X87" s="4"/>
      <c r="Y87" s="4"/>
      <c r="Z87" s="4"/>
      <c r="AA87" s="4"/>
    </row>
    <row r="88" spans="1:27" ht="12.75">
      <c r="A88" s="7"/>
      <c r="B88" s="11"/>
      <c r="C88" s="94"/>
      <c r="D88" s="94" t="s">
        <v>45</v>
      </c>
      <c r="E88" s="111">
        <f>SUM(BalanceSheets!E43)</f>
        <v>225000</v>
      </c>
      <c r="F88" s="161"/>
      <c r="G88" s="464">
        <f t="shared" si="11"/>
        <v>0.05212174295571748</v>
      </c>
      <c r="H88" s="161"/>
      <c r="I88" s="111">
        <f>SUM(BalanceSheets!G43)</f>
        <v>225000</v>
      </c>
      <c r="J88" s="161"/>
      <c r="K88" s="464">
        <f t="shared" si="12"/>
        <v>0.05209277816400393</v>
      </c>
      <c r="L88" s="161"/>
      <c r="M88" s="111">
        <f>SUM(BalanceSheets!I43)</f>
        <v>225000</v>
      </c>
      <c r="N88" s="111"/>
      <c r="O88" s="464">
        <f t="shared" si="13"/>
        <v>0.05358032035316337</v>
      </c>
      <c r="P88" s="4"/>
      <c r="Q88" s="12"/>
      <c r="R88" s="4"/>
      <c r="S88" s="4"/>
      <c r="T88" s="4"/>
      <c r="U88" s="4"/>
      <c r="V88" s="4"/>
      <c r="W88" s="4"/>
      <c r="X88" s="4"/>
      <c r="Y88" s="4"/>
      <c r="Z88" s="4"/>
      <c r="AA88" s="4"/>
    </row>
    <row r="89" spans="1:27" ht="12.75">
      <c r="A89" s="7"/>
      <c r="B89" s="11"/>
      <c r="C89" s="94"/>
      <c r="D89" s="94" t="s">
        <v>46</v>
      </c>
      <c r="E89" s="111">
        <f>SUM(BalanceSheets!E44)</f>
        <v>1211616.5</v>
      </c>
      <c r="F89" s="165"/>
      <c r="G89" s="464">
        <f t="shared" si="11"/>
        <v>0.28067361677291586</v>
      </c>
      <c r="H89" s="165"/>
      <c r="I89" s="143">
        <f>SUM(BalanceSheets!G44)</f>
        <v>1175516.75</v>
      </c>
      <c r="J89" s="165"/>
      <c r="K89" s="464">
        <f t="shared" si="12"/>
        <v>0.27215970349253715</v>
      </c>
      <c r="L89" s="165"/>
      <c r="M89" s="111">
        <f>SUM(BalanceSheets!I44)</f>
        <v>979223</v>
      </c>
      <c r="N89" s="165"/>
      <c r="O89" s="464">
        <f t="shared" si="13"/>
        <v>0.23318703127638088</v>
      </c>
      <c r="P89" s="4"/>
      <c r="Q89" s="12"/>
      <c r="R89" s="4"/>
      <c r="S89" s="4"/>
      <c r="T89" s="4"/>
      <c r="U89" s="4"/>
      <c r="V89" s="4"/>
      <c r="W89" s="4"/>
      <c r="X89" s="4"/>
      <c r="Y89" s="4"/>
      <c r="Z89" s="4"/>
      <c r="AA89" s="4"/>
    </row>
    <row r="90" spans="1:27" ht="12.75">
      <c r="A90" s="7"/>
      <c r="B90" s="11"/>
      <c r="C90" s="94"/>
      <c r="D90" s="94" t="s">
        <v>471</v>
      </c>
      <c r="E90" s="195">
        <f>SUM(BalanceSheets!E45)</f>
        <v>-100000</v>
      </c>
      <c r="F90" s="165"/>
      <c r="G90" s="464">
        <f t="shared" si="11"/>
        <v>-0.023165219091429993</v>
      </c>
      <c r="H90" s="165"/>
      <c r="I90" s="195">
        <f>SUM(BalanceSheets!G45)</f>
        <v>-100000</v>
      </c>
      <c r="J90" s="165"/>
      <c r="K90" s="464">
        <f t="shared" si="12"/>
        <v>-0.023152345850668412</v>
      </c>
      <c r="L90" s="165"/>
      <c r="M90" s="182">
        <f>SUM(BalanceSheets!I45)</f>
        <v>0</v>
      </c>
      <c r="N90" s="165"/>
      <c r="O90" s="464">
        <f t="shared" si="13"/>
        <v>0</v>
      </c>
      <c r="P90" s="4"/>
      <c r="Q90" s="12"/>
      <c r="R90" s="4"/>
      <c r="S90" s="4"/>
      <c r="T90" s="4"/>
      <c r="U90" s="4"/>
      <c r="V90" s="4"/>
      <c r="W90" s="4"/>
      <c r="X90" s="4"/>
      <c r="Y90" s="4"/>
      <c r="Z90" s="4"/>
      <c r="AA90" s="4"/>
    </row>
    <row r="91" spans="1:27" ht="12.75">
      <c r="A91" s="7"/>
      <c r="B91" s="11"/>
      <c r="C91" s="94"/>
      <c r="D91" s="93" t="s">
        <v>47</v>
      </c>
      <c r="E91" s="111">
        <f>SUM(BalanceSheets!E46)</f>
        <v>2336616.5</v>
      </c>
      <c r="F91" s="111"/>
      <c r="G91" s="465">
        <f t="shared" si="11"/>
        <v>0.5412823315515033</v>
      </c>
      <c r="H91" s="191"/>
      <c r="I91" s="111">
        <f>SUM(BalanceSheets!G46)</f>
        <v>2300516.75</v>
      </c>
      <c r="J91" s="191"/>
      <c r="K91" s="465">
        <f t="shared" si="12"/>
        <v>0.5326235943125568</v>
      </c>
      <c r="L91" s="94"/>
      <c r="M91" s="111">
        <f>SUM(BalanceSheets!I46)</f>
        <v>2204223</v>
      </c>
      <c r="N91" s="94"/>
      <c r="O91" s="465">
        <f t="shared" si="13"/>
        <v>0.5249021087547148</v>
      </c>
      <c r="P91" s="4"/>
      <c r="Q91" s="12"/>
      <c r="R91" s="4"/>
      <c r="S91" s="4"/>
      <c r="T91" s="4"/>
      <c r="U91" s="4"/>
      <c r="V91" s="4"/>
      <c r="W91" s="4"/>
      <c r="X91" s="4"/>
      <c r="Y91" s="4"/>
      <c r="Z91" s="4"/>
      <c r="AA91" s="4"/>
    </row>
    <row r="92" spans="1:27" ht="13.5" thickBot="1">
      <c r="A92" s="7"/>
      <c r="B92" s="11"/>
      <c r="C92" s="94"/>
      <c r="D92" s="204" t="s">
        <v>48</v>
      </c>
      <c r="E92" s="194">
        <f>E83+E91</f>
        <v>4316816.5</v>
      </c>
      <c r="F92" s="111"/>
      <c r="G92" s="466">
        <f t="shared" si="11"/>
        <v>1</v>
      </c>
      <c r="H92" s="111"/>
      <c r="I92" s="194">
        <f>I83+I91</f>
        <v>4319216.75</v>
      </c>
      <c r="J92" s="153"/>
      <c r="K92" s="466">
        <f t="shared" si="12"/>
        <v>1</v>
      </c>
      <c r="L92" s="94"/>
      <c r="M92" s="194">
        <f>M83+M91</f>
        <v>4199303</v>
      </c>
      <c r="N92" s="94"/>
      <c r="O92" s="466">
        <f t="shared" si="13"/>
        <v>1</v>
      </c>
      <c r="P92" s="4"/>
      <c r="Q92" s="12"/>
      <c r="R92" s="4"/>
      <c r="S92" s="4"/>
      <c r="T92" s="4"/>
      <c r="U92" s="4"/>
      <c r="V92" s="4"/>
      <c r="W92" s="4"/>
      <c r="X92" s="4"/>
      <c r="Y92" s="4"/>
      <c r="Z92" s="4"/>
      <c r="AA92" s="4"/>
    </row>
    <row r="93" spans="1:27" ht="13.5" thickTop="1">
      <c r="A93" s="7"/>
      <c r="B93" s="11"/>
      <c r="C93" s="7"/>
      <c r="D93" s="7"/>
      <c r="E93" s="67"/>
      <c r="F93" s="66"/>
      <c r="G93" s="33"/>
      <c r="H93" s="66"/>
      <c r="I93" s="67"/>
      <c r="J93" s="66"/>
      <c r="K93" s="65"/>
      <c r="L93" s="4"/>
      <c r="M93" s="4"/>
      <c r="N93" s="4"/>
      <c r="O93" s="4"/>
      <c r="P93" s="4"/>
      <c r="Q93" s="12"/>
      <c r="R93" s="4"/>
      <c r="S93" s="4"/>
      <c r="T93" s="4"/>
      <c r="U93" s="4"/>
      <c r="V93" s="4"/>
      <c r="W93" s="4"/>
      <c r="X93" s="4"/>
      <c r="Y93" s="4"/>
      <c r="Z93" s="4"/>
      <c r="AA93" s="4"/>
    </row>
    <row r="94" spans="1:27" ht="12.75">
      <c r="A94" s="7"/>
      <c r="B94" s="11"/>
      <c r="C94" s="11"/>
      <c r="D94" s="11"/>
      <c r="E94" s="52"/>
      <c r="F94" s="52"/>
      <c r="G94" s="52"/>
      <c r="H94" s="52"/>
      <c r="I94" s="52"/>
      <c r="J94" s="11"/>
      <c r="K94" s="11"/>
      <c r="L94" s="12"/>
      <c r="M94" s="12"/>
      <c r="N94" s="12"/>
      <c r="O94" s="12"/>
      <c r="P94" s="12"/>
      <c r="Q94" s="12"/>
      <c r="R94" s="4"/>
      <c r="S94" s="4"/>
      <c r="T94" s="4"/>
      <c r="U94" s="4"/>
      <c r="V94" s="4"/>
      <c r="W94" s="4"/>
      <c r="X94" s="4"/>
      <c r="Y94" s="4"/>
      <c r="Z94" s="4"/>
      <c r="AA94" s="4"/>
    </row>
    <row r="95" spans="1:27" ht="12.7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2.7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2.7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2.7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2.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2.7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2.7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2.7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2.7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2.7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2.7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2.7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2.7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2.7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2.7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2.7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2.7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2.7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2.7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2.7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2.7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sheetData>
  <sheetProtection password="CE3F" sheet="1" selectLockedCells="1" selectUnlockedCells="1"/>
  <mergeCells count="8">
    <mergeCell ref="E52:I52"/>
    <mergeCell ref="D48:O48"/>
    <mergeCell ref="D50:O50"/>
    <mergeCell ref="D49:O49"/>
    <mergeCell ref="D3:M3"/>
    <mergeCell ref="D4:M4"/>
    <mergeCell ref="D5:M5"/>
    <mergeCell ref="E7:I7"/>
  </mergeCells>
  <printOptions/>
  <pageMargins left="0.7" right="0.7" top="0.75" bottom="0.7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AK55"/>
  <sheetViews>
    <sheetView zoomScalePageLayoutView="0" workbookViewId="0" topLeftCell="A4">
      <selection activeCell="D6" sqref="D6:L6"/>
    </sheetView>
  </sheetViews>
  <sheetFormatPr defaultColWidth="9.140625" defaultRowHeight="12.75"/>
  <cols>
    <col min="1" max="1" width="2.7109375" style="0" customWidth="1"/>
    <col min="2" max="2" width="2.421875" style="0" customWidth="1"/>
    <col min="3" max="3" width="2.140625" style="0" customWidth="1"/>
    <col min="4" max="4" width="23.00390625" style="0" customWidth="1"/>
    <col min="5" max="5" width="9.8515625" style="0" customWidth="1"/>
    <col min="6" max="6" width="2.8515625" style="0" customWidth="1"/>
    <col min="8" max="8" width="2.421875" style="0" customWidth="1"/>
    <col min="9" max="9" width="11.140625" style="0" customWidth="1"/>
    <col min="10" max="10" width="2.57421875" style="0" customWidth="1"/>
    <col min="12" max="13" width="2.57421875" style="0" customWidth="1"/>
    <col min="14" max="14" width="2.28125" style="0" customWidth="1"/>
    <col min="15" max="15" width="3.140625" style="0" customWidth="1"/>
  </cols>
  <sheetData>
    <row r="1" spans="1:37" ht="12.75">
      <c r="A1" s="4"/>
      <c r="B1" s="4"/>
      <c r="C1" s="5"/>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2.75">
      <c r="A2" s="4"/>
      <c r="B2" s="12"/>
      <c r="C2" s="21"/>
      <c r="D2" s="12"/>
      <c r="E2" s="12"/>
      <c r="F2" s="12"/>
      <c r="G2" s="12"/>
      <c r="H2" s="12"/>
      <c r="I2" s="12"/>
      <c r="J2" s="12"/>
      <c r="K2" s="12"/>
      <c r="L2" s="12"/>
      <c r="M2" s="12"/>
      <c r="N2" s="12"/>
      <c r="O2" s="4"/>
      <c r="P2" s="4"/>
      <c r="Q2" s="4"/>
      <c r="R2" s="4"/>
      <c r="S2" s="4"/>
      <c r="T2" s="4"/>
      <c r="U2" s="4"/>
      <c r="V2" s="4"/>
      <c r="W2" s="4"/>
      <c r="X2" s="4"/>
      <c r="Y2" s="4"/>
      <c r="Z2" s="4"/>
      <c r="AA2" s="4"/>
      <c r="AB2" s="4"/>
      <c r="AC2" s="4"/>
      <c r="AD2" s="4"/>
      <c r="AE2" s="4"/>
      <c r="AF2" s="4"/>
      <c r="AG2" s="4"/>
      <c r="AH2" s="4"/>
      <c r="AI2" s="4"/>
      <c r="AJ2" s="4"/>
      <c r="AK2" s="4"/>
    </row>
    <row r="3" spans="1:37" ht="12.75">
      <c r="A3" s="4"/>
      <c r="B3" s="154"/>
      <c r="C3" s="93"/>
      <c r="D3" s="94"/>
      <c r="E3" s="94"/>
      <c r="F3" s="94"/>
      <c r="G3" s="94"/>
      <c r="H3" s="94"/>
      <c r="I3" s="94"/>
      <c r="J3" s="94"/>
      <c r="K3" s="94"/>
      <c r="L3" s="94"/>
      <c r="M3" s="4"/>
      <c r="N3" s="12"/>
      <c r="O3" s="4"/>
      <c r="P3" s="4"/>
      <c r="Q3" s="4"/>
      <c r="R3" s="4"/>
      <c r="S3" s="4"/>
      <c r="T3" s="4"/>
      <c r="U3" s="4"/>
      <c r="V3" s="4"/>
      <c r="W3" s="4"/>
      <c r="X3" s="4"/>
      <c r="Y3" s="4"/>
      <c r="Z3" s="4"/>
      <c r="AA3" s="4"/>
      <c r="AB3" s="4"/>
      <c r="AC3" s="4"/>
      <c r="AD3" s="4"/>
      <c r="AE3" s="4"/>
      <c r="AF3" s="4"/>
      <c r="AG3" s="4"/>
      <c r="AH3" s="4"/>
      <c r="AI3" s="4"/>
      <c r="AJ3" s="4"/>
      <c r="AK3" s="4"/>
    </row>
    <row r="4" spans="1:37" ht="12.75">
      <c r="A4" s="4"/>
      <c r="B4" s="154"/>
      <c r="C4" s="94"/>
      <c r="D4" s="491" t="s">
        <v>54</v>
      </c>
      <c r="E4" s="492"/>
      <c r="F4" s="492"/>
      <c r="G4" s="492"/>
      <c r="H4" s="492"/>
      <c r="I4" s="492"/>
      <c r="J4" s="492"/>
      <c r="K4" s="492"/>
      <c r="L4" s="492"/>
      <c r="M4" s="17"/>
      <c r="N4" s="47"/>
      <c r="O4" s="16"/>
      <c r="P4" s="4"/>
      <c r="Q4" s="4"/>
      <c r="R4" s="4"/>
      <c r="S4" s="4"/>
      <c r="T4" s="4"/>
      <c r="U4" s="4"/>
      <c r="V4" s="4"/>
      <c r="W4" s="4"/>
      <c r="X4" s="4"/>
      <c r="Y4" s="4"/>
      <c r="Z4" s="4"/>
      <c r="AA4" s="4"/>
      <c r="AB4" s="4"/>
      <c r="AC4" s="4"/>
      <c r="AD4" s="4"/>
      <c r="AE4" s="4"/>
      <c r="AF4" s="4"/>
      <c r="AG4" s="4"/>
      <c r="AH4" s="4"/>
      <c r="AI4" s="4"/>
      <c r="AJ4" s="4"/>
      <c r="AK4" s="4"/>
    </row>
    <row r="5" spans="1:37" ht="12.75">
      <c r="A5" s="4"/>
      <c r="B5" s="154"/>
      <c r="C5" s="94"/>
      <c r="D5" s="491" t="s">
        <v>236</v>
      </c>
      <c r="E5" s="492"/>
      <c r="F5" s="492"/>
      <c r="G5" s="492"/>
      <c r="H5" s="492"/>
      <c r="I5" s="492"/>
      <c r="J5" s="492"/>
      <c r="K5" s="492"/>
      <c r="L5" s="492"/>
      <c r="M5" s="17"/>
      <c r="N5" s="47"/>
      <c r="O5" s="16"/>
      <c r="P5" s="4"/>
      <c r="Q5" s="4"/>
      <c r="R5" s="4"/>
      <c r="S5" s="4"/>
      <c r="T5" s="4"/>
      <c r="U5" s="4"/>
      <c r="V5" s="4"/>
      <c r="W5" s="4"/>
      <c r="X5" s="4"/>
      <c r="Y5" s="4"/>
      <c r="Z5" s="4"/>
      <c r="AA5" s="4"/>
      <c r="AB5" s="4"/>
      <c r="AC5" s="4"/>
      <c r="AD5" s="4"/>
      <c r="AE5" s="4"/>
      <c r="AF5" s="4"/>
      <c r="AG5" s="4"/>
      <c r="AH5" s="4"/>
      <c r="AI5" s="4"/>
      <c r="AJ5" s="4"/>
      <c r="AK5" s="4"/>
    </row>
    <row r="6" spans="1:37" ht="12.75">
      <c r="A6" s="4"/>
      <c r="B6" s="154"/>
      <c r="C6" s="94"/>
      <c r="D6" s="493" t="s">
        <v>237</v>
      </c>
      <c r="E6" s="492"/>
      <c r="F6" s="492"/>
      <c r="G6" s="492"/>
      <c r="H6" s="492"/>
      <c r="I6" s="492"/>
      <c r="J6" s="492"/>
      <c r="K6" s="492"/>
      <c r="L6" s="492"/>
      <c r="M6" s="17"/>
      <c r="N6" s="47"/>
      <c r="O6" s="16"/>
      <c r="P6" s="4"/>
      <c r="Q6" s="4"/>
      <c r="R6" s="4"/>
      <c r="S6" s="4"/>
      <c r="T6" s="4"/>
      <c r="U6" s="4"/>
      <c r="V6" s="4"/>
      <c r="W6" s="4"/>
      <c r="X6" s="4"/>
      <c r="Y6" s="4"/>
      <c r="Z6" s="4"/>
      <c r="AA6" s="4"/>
      <c r="AB6" s="4"/>
      <c r="AC6" s="4"/>
      <c r="AD6" s="4"/>
      <c r="AE6" s="4"/>
      <c r="AF6" s="4"/>
      <c r="AG6" s="4"/>
      <c r="AH6" s="4"/>
      <c r="AI6" s="4"/>
      <c r="AJ6" s="4"/>
      <c r="AK6" s="4"/>
    </row>
    <row r="7" spans="1:37" ht="12.75">
      <c r="A7" s="4"/>
      <c r="B7" s="154"/>
      <c r="C7" s="94"/>
      <c r="D7" s="157"/>
      <c r="E7" s="100"/>
      <c r="F7" s="100"/>
      <c r="G7" s="100"/>
      <c r="H7" s="100"/>
      <c r="I7" s="100"/>
      <c r="J7" s="100"/>
      <c r="K7" s="100"/>
      <c r="L7" s="100"/>
      <c r="M7" s="17"/>
      <c r="N7" s="47"/>
      <c r="O7" s="16"/>
      <c r="P7" s="4"/>
      <c r="Q7" s="4"/>
      <c r="R7" s="4"/>
      <c r="S7" s="4"/>
      <c r="T7" s="4"/>
      <c r="U7" s="4"/>
      <c r="V7" s="4"/>
      <c r="W7" s="4"/>
      <c r="X7" s="4"/>
      <c r="Y7" s="4"/>
      <c r="Z7" s="4"/>
      <c r="AA7" s="4"/>
      <c r="AB7" s="4"/>
      <c r="AC7" s="4"/>
      <c r="AD7" s="4"/>
      <c r="AE7" s="4"/>
      <c r="AF7" s="4"/>
      <c r="AG7" s="4"/>
      <c r="AH7" s="4"/>
      <c r="AI7" s="4"/>
      <c r="AJ7" s="4"/>
      <c r="AK7" s="4"/>
    </row>
    <row r="8" spans="1:37" ht="12.75">
      <c r="A8" s="4"/>
      <c r="B8" s="154"/>
      <c r="C8" s="94"/>
      <c r="D8" s="94"/>
      <c r="E8" s="490"/>
      <c r="F8" s="490"/>
      <c r="G8" s="490"/>
      <c r="H8" s="490"/>
      <c r="I8" s="490"/>
      <c r="J8" s="149"/>
      <c r="K8" s="149"/>
      <c r="L8" s="149"/>
      <c r="M8" s="17"/>
      <c r="N8" s="47"/>
      <c r="O8" s="16"/>
      <c r="P8" s="4"/>
      <c r="Q8" s="4"/>
      <c r="R8" s="4"/>
      <c r="S8" s="4"/>
      <c r="T8" s="4"/>
      <c r="U8" s="4"/>
      <c r="V8" s="4"/>
      <c r="W8" s="4"/>
      <c r="X8" s="4"/>
      <c r="Y8" s="4"/>
      <c r="Z8" s="4"/>
      <c r="AA8" s="4"/>
      <c r="AB8" s="4"/>
      <c r="AC8" s="4"/>
      <c r="AD8" s="4"/>
      <c r="AE8" s="4"/>
      <c r="AF8" s="4"/>
      <c r="AG8" s="4"/>
      <c r="AH8" s="4"/>
      <c r="AI8" s="4"/>
      <c r="AJ8" s="4"/>
      <c r="AK8" s="4"/>
    </row>
    <row r="9" spans="1:37" ht="12.75">
      <c r="A9" s="4"/>
      <c r="B9" s="154"/>
      <c r="C9" s="94"/>
      <c r="D9" s="94"/>
      <c r="E9" s="104" t="s">
        <v>11</v>
      </c>
      <c r="F9" s="159"/>
      <c r="G9" s="104" t="s">
        <v>12</v>
      </c>
      <c r="H9" s="159"/>
      <c r="I9" s="104" t="s">
        <v>53</v>
      </c>
      <c r="J9" s="159"/>
      <c r="K9" s="159"/>
      <c r="L9" s="159"/>
      <c r="M9" s="17"/>
      <c r="N9" s="47"/>
      <c r="O9" s="16"/>
      <c r="P9" s="4"/>
      <c r="Q9" s="4"/>
      <c r="R9" s="4"/>
      <c r="S9" s="4"/>
      <c r="T9" s="4"/>
      <c r="U9" s="4"/>
      <c r="V9" s="4"/>
      <c r="W9" s="4"/>
      <c r="X9" s="4"/>
      <c r="Y9" s="4"/>
      <c r="Z9" s="4"/>
      <c r="AA9" s="4"/>
      <c r="AB9" s="4"/>
      <c r="AC9" s="4"/>
      <c r="AD9" s="4"/>
      <c r="AE9" s="4"/>
      <c r="AF9" s="4"/>
      <c r="AG9" s="4"/>
      <c r="AH9" s="4"/>
      <c r="AI9" s="4"/>
      <c r="AJ9" s="4"/>
      <c r="AK9" s="4"/>
    </row>
    <row r="10" spans="1:37" ht="12.75">
      <c r="A10" s="4"/>
      <c r="B10" s="154"/>
      <c r="C10" s="94"/>
      <c r="D10" s="94"/>
      <c r="E10" s="94"/>
      <c r="F10" s="94"/>
      <c r="G10" s="94"/>
      <c r="H10" s="94"/>
      <c r="I10" s="94"/>
      <c r="J10" s="94"/>
      <c r="K10" s="95"/>
      <c r="L10" s="95"/>
      <c r="M10" s="17"/>
      <c r="N10" s="47"/>
      <c r="O10" s="16"/>
      <c r="P10" s="4"/>
      <c r="Q10" s="4"/>
      <c r="R10" s="4"/>
      <c r="S10" s="4"/>
      <c r="T10" s="4"/>
      <c r="U10" s="4"/>
      <c r="V10" s="4"/>
      <c r="W10" s="4"/>
      <c r="X10" s="4"/>
      <c r="Y10" s="4"/>
      <c r="Z10" s="4"/>
      <c r="AA10" s="4"/>
      <c r="AB10" s="4"/>
      <c r="AC10" s="4"/>
      <c r="AD10" s="4"/>
      <c r="AE10" s="4"/>
      <c r="AF10" s="4"/>
      <c r="AG10" s="4"/>
      <c r="AH10" s="4"/>
      <c r="AI10" s="4"/>
      <c r="AJ10" s="4"/>
      <c r="AK10" s="4"/>
    </row>
    <row r="11" spans="1:37" ht="12.75">
      <c r="A11" s="4"/>
      <c r="B11" s="154"/>
      <c r="C11" s="94"/>
      <c r="D11" s="94" t="s">
        <v>65</v>
      </c>
      <c r="E11" s="179">
        <f>SUM(IncomeStatements!D10)</f>
        <v>5083000</v>
      </c>
      <c r="F11" s="161"/>
      <c r="G11" s="179">
        <f>SUM(IncomeStatements!F10)</f>
        <v>5980000</v>
      </c>
      <c r="H11" s="161"/>
      <c r="I11" s="179">
        <f>SUM(IncomeStatements!H10)</f>
        <v>4485000</v>
      </c>
      <c r="J11" s="161"/>
      <c r="K11" s="165"/>
      <c r="L11" s="165"/>
      <c r="M11" s="17"/>
      <c r="N11" s="47"/>
      <c r="O11" s="16"/>
      <c r="P11" s="4"/>
      <c r="Q11" s="4"/>
      <c r="R11" s="4"/>
      <c r="S11" s="4"/>
      <c r="T11" s="4"/>
      <c r="U11" s="4"/>
      <c r="V11" s="4"/>
      <c r="W11" s="4"/>
      <c r="X11" s="4"/>
      <c r="Y11" s="4"/>
      <c r="Z11" s="4"/>
      <c r="AA11" s="4"/>
      <c r="AB11" s="4"/>
      <c r="AC11" s="4"/>
      <c r="AD11" s="4"/>
      <c r="AE11" s="4"/>
      <c r="AF11" s="4"/>
      <c r="AG11" s="4"/>
      <c r="AH11" s="4"/>
      <c r="AI11" s="4"/>
      <c r="AJ11" s="4"/>
      <c r="AK11" s="4"/>
    </row>
    <row r="12" spans="1:37" ht="12.75">
      <c r="A12" s="4"/>
      <c r="B12" s="154"/>
      <c r="C12" s="94"/>
      <c r="D12" s="94"/>
      <c r="E12" s="165"/>
      <c r="F12" s="165"/>
      <c r="G12" s="165"/>
      <c r="H12" s="165"/>
      <c r="I12" s="165"/>
      <c r="J12" s="165"/>
      <c r="K12" s="165"/>
      <c r="L12" s="165"/>
      <c r="M12" s="17"/>
      <c r="N12" s="47"/>
      <c r="O12" s="16"/>
      <c r="P12" s="4"/>
      <c r="Q12" s="4"/>
      <c r="R12" s="4"/>
      <c r="S12" s="4"/>
      <c r="T12" s="4"/>
      <c r="U12" s="4"/>
      <c r="V12" s="4"/>
      <c r="W12" s="4"/>
      <c r="X12" s="4"/>
      <c r="Y12" s="4"/>
      <c r="Z12" s="4"/>
      <c r="AA12" s="4"/>
      <c r="AB12" s="4"/>
      <c r="AC12" s="4"/>
      <c r="AD12" s="4"/>
      <c r="AE12" s="4"/>
      <c r="AF12" s="4"/>
      <c r="AG12" s="4"/>
      <c r="AH12" s="4"/>
      <c r="AI12" s="4"/>
      <c r="AJ12" s="4"/>
      <c r="AK12" s="4"/>
    </row>
    <row r="13" spans="1:37" ht="12.75">
      <c r="A13" s="4"/>
      <c r="B13" s="154"/>
      <c r="C13" s="94"/>
      <c r="D13" s="94" t="s">
        <v>144</v>
      </c>
      <c r="E13" s="196">
        <f>SUM(IncomeStatements!D10/SUM(IncomeStatements!H10))</f>
        <v>1.1333333333333333</v>
      </c>
      <c r="F13" s="210"/>
      <c r="G13" s="196">
        <f>SUM(IncomeStatements!F10/SUM(IncomeStatements!H10))</f>
        <v>1.3333333333333333</v>
      </c>
      <c r="H13" s="210"/>
      <c r="I13" s="196">
        <f>SUM(IncomeStatements!H10/SUM(IncomeStatements!H10))</f>
        <v>1</v>
      </c>
      <c r="J13" s="161"/>
      <c r="K13" s="165"/>
      <c r="L13" s="165"/>
      <c r="M13" s="17"/>
      <c r="N13" s="47"/>
      <c r="O13" s="16"/>
      <c r="P13" s="4"/>
      <c r="Q13" s="4"/>
      <c r="R13" s="4"/>
      <c r="S13" s="4"/>
      <c r="T13" s="4"/>
      <c r="U13" s="4"/>
      <c r="V13" s="4"/>
      <c r="W13" s="4"/>
      <c r="X13" s="4"/>
      <c r="Y13" s="4"/>
      <c r="Z13" s="4"/>
      <c r="AA13" s="4"/>
      <c r="AB13" s="4"/>
      <c r="AC13" s="4"/>
      <c r="AD13" s="4"/>
      <c r="AE13" s="4"/>
      <c r="AF13" s="4"/>
      <c r="AG13" s="4"/>
      <c r="AH13" s="4"/>
      <c r="AI13" s="4"/>
      <c r="AJ13" s="4"/>
      <c r="AK13" s="4"/>
    </row>
    <row r="14" spans="1:37" ht="12.75">
      <c r="A14" s="4"/>
      <c r="B14" s="154"/>
      <c r="C14" s="94"/>
      <c r="D14" s="94"/>
      <c r="E14" s="161"/>
      <c r="F14" s="161"/>
      <c r="G14" s="161"/>
      <c r="H14" s="161"/>
      <c r="I14" s="161"/>
      <c r="J14" s="161"/>
      <c r="K14" s="165"/>
      <c r="L14" s="165"/>
      <c r="M14" s="17"/>
      <c r="N14" s="47"/>
      <c r="O14" s="16"/>
      <c r="P14" s="4"/>
      <c r="Q14" s="4"/>
      <c r="R14" s="4"/>
      <c r="S14" s="4"/>
      <c r="T14" s="4"/>
      <c r="U14" s="4"/>
      <c r="V14" s="4"/>
      <c r="W14" s="4"/>
      <c r="X14" s="4"/>
      <c r="Y14" s="4"/>
      <c r="Z14" s="4"/>
      <c r="AA14" s="4"/>
      <c r="AB14" s="4"/>
      <c r="AC14" s="4"/>
      <c r="AD14" s="4"/>
      <c r="AE14" s="4"/>
      <c r="AF14" s="4"/>
      <c r="AG14" s="4"/>
      <c r="AH14" s="4"/>
      <c r="AI14" s="4"/>
      <c r="AJ14" s="4"/>
      <c r="AK14" s="4"/>
    </row>
    <row r="15" spans="1:37" ht="12.75">
      <c r="A15" s="4"/>
      <c r="B15" s="154"/>
      <c r="C15" s="94"/>
      <c r="D15" s="94"/>
      <c r="E15" s="106"/>
      <c r="F15" s="106"/>
      <c r="G15" s="106"/>
      <c r="H15" s="106"/>
      <c r="I15" s="106"/>
      <c r="J15" s="106"/>
      <c r="K15" s="106"/>
      <c r="L15" s="106"/>
      <c r="M15" s="17"/>
      <c r="N15" s="47"/>
      <c r="O15" s="16"/>
      <c r="P15" s="4"/>
      <c r="Q15" s="4"/>
      <c r="R15" s="4"/>
      <c r="S15" s="4"/>
      <c r="T15" s="4"/>
      <c r="U15" s="4"/>
      <c r="V15" s="4"/>
      <c r="W15" s="4"/>
      <c r="X15" s="4"/>
      <c r="Y15" s="4"/>
      <c r="Z15" s="4"/>
      <c r="AA15" s="4"/>
      <c r="AB15" s="4"/>
      <c r="AC15" s="4"/>
      <c r="AD15" s="4"/>
      <c r="AE15" s="4"/>
      <c r="AF15" s="4"/>
      <c r="AG15" s="4"/>
      <c r="AH15" s="4"/>
      <c r="AI15" s="4"/>
      <c r="AJ15" s="4"/>
      <c r="AK15" s="4"/>
    </row>
    <row r="16" spans="1:37" ht="12.75">
      <c r="A16" s="4"/>
      <c r="B16" s="154"/>
      <c r="C16" s="94"/>
      <c r="D16" s="491" t="s">
        <v>54</v>
      </c>
      <c r="E16" s="492"/>
      <c r="F16" s="492"/>
      <c r="G16" s="492"/>
      <c r="H16" s="492"/>
      <c r="I16" s="492"/>
      <c r="J16" s="492"/>
      <c r="K16" s="492"/>
      <c r="L16" s="492"/>
      <c r="M16" s="17"/>
      <c r="N16" s="47"/>
      <c r="O16" s="16"/>
      <c r="P16" s="4"/>
      <c r="Q16" s="4"/>
      <c r="R16" s="4"/>
      <c r="S16" s="4"/>
      <c r="T16" s="4"/>
      <c r="U16" s="4"/>
      <c r="V16" s="4"/>
      <c r="W16" s="4"/>
      <c r="X16" s="4"/>
      <c r="Y16" s="4"/>
      <c r="Z16" s="4"/>
      <c r="AA16" s="4"/>
      <c r="AB16" s="4"/>
      <c r="AC16" s="4"/>
      <c r="AD16" s="4"/>
      <c r="AE16" s="4"/>
      <c r="AF16" s="4"/>
      <c r="AG16" s="4"/>
      <c r="AH16" s="4"/>
      <c r="AI16" s="4"/>
      <c r="AJ16" s="4"/>
      <c r="AK16" s="4"/>
    </row>
    <row r="17" spans="1:37" ht="12.75">
      <c r="A17" s="4"/>
      <c r="B17" s="154"/>
      <c r="C17" s="94"/>
      <c r="D17" s="491" t="s">
        <v>328</v>
      </c>
      <c r="E17" s="492"/>
      <c r="F17" s="492"/>
      <c r="G17" s="492"/>
      <c r="H17" s="492"/>
      <c r="I17" s="492"/>
      <c r="J17" s="492"/>
      <c r="K17" s="492"/>
      <c r="L17" s="492"/>
      <c r="M17" s="17"/>
      <c r="N17" s="47"/>
      <c r="O17" s="16"/>
      <c r="P17" s="4"/>
      <c r="Q17" s="4"/>
      <c r="R17" s="4"/>
      <c r="S17" s="4"/>
      <c r="T17" s="4"/>
      <c r="U17" s="4"/>
      <c r="V17" s="4"/>
      <c r="W17" s="4"/>
      <c r="X17" s="4"/>
      <c r="Y17" s="4"/>
      <c r="Z17" s="4"/>
      <c r="AA17" s="4"/>
      <c r="AB17" s="4"/>
      <c r="AC17" s="4"/>
      <c r="AD17" s="4"/>
      <c r="AE17" s="4"/>
      <c r="AF17" s="4"/>
      <c r="AG17" s="4"/>
      <c r="AH17" s="4"/>
      <c r="AI17" s="4"/>
      <c r="AJ17" s="4"/>
      <c r="AK17" s="4"/>
    </row>
    <row r="18" spans="1:37" ht="12.75">
      <c r="A18" s="4"/>
      <c r="B18" s="154"/>
      <c r="C18" s="94"/>
      <c r="D18" s="493" t="s">
        <v>238</v>
      </c>
      <c r="E18" s="492"/>
      <c r="F18" s="492"/>
      <c r="G18" s="492"/>
      <c r="H18" s="492"/>
      <c r="I18" s="492"/>
      <c r="J18" s="492"/>
      <c r="K18" s="492"/>
      <c r="L18" s="492"/>
      <c r="M18" s="17"/>
      <c r="N18" s="47"/>
      <c r="O18" s="16"/>
      <c r="P18" s="4"/>
      <c r="Q18" s="4"/>
      <c r="R18" s="4"/>
      <c r="S18" s="4"/>
      <c r="T18" s="4"/>
      <c r="U18" s="4"/>
      <c r="V18" s="4"/>
      <c r="W18" s="4"/>
      <c r="X18" s="4"/>
      <c r="Y18" s="4"/>
      <c r="Z18" s="4"/>
      <c r="AA18" s="4"/>
      <c r="AB18" s="4"/>
      <c r="AC18" s="4"/>
      <c r="AD18" s="4"/>
      <c r="AE18" s="4"/>
      <c r="AF18" s="4"/>
      <c r="AG18" s="4"/>
      <c r="AH18" s="4"/>
      <c r="AI18" s="4"/>
      <c r="AJ18" s="4"/>
      <c r="AK18" s="4"/>
    </row>
    <row r="19" spans="1:37" ht="12.75">
      <c r="A19" s="4"/>
      <c r="B19" s="154"/>
      <c r="C19" s="94"/>
      <c r="D19" s="157"/>
      <c r="E19" s="100"/>
      <c r="F19" s="100"/>
      <c r="G19" s="100"/>
      <c r="H19" s="100"/>
      <c r="I19" s="100"/>
      <c r="J19" s="100"/>
      <c r="K19" s="100"/>
      <c r="L19" s="100"/>
      <c r="M19" s="17"/>
      <c r="N19" s="47"/>
      <c r="O19" s="16"/>
      <c r="P19" s="4"/>
      <c r="Q19" s="4"/>
      <c r="R19" s="4"/>
      <c r="S19" s="4"/>
      <c r="T19" s="4"/>
      <c r="U19" s="4"/>
      <c r="V19" s="4"/>
      <c r="W19" s="4"/>
      <c r="X19" s="4"/>
      <c r="Y19" s="4"/>
      <c r="Z19" s="4"/>
      <c r="AA19" s="4"/>
      <c r="AB19" s="4"/>
      <c r="AC19" s="4"/>
      <c r="AD19" s="4"/>
      <c r="AE19" s="4"/>
      <c r="AF19" s="4"/>
      <c r="AG19" s="4"/>
      <c r="AH19" s="4"/>
      <c r="AI19" s="4"/>
      <c r="AJ19" s="4"/>
      <c r="AK19" s="4"/>
    </row>
    <row r="20" spans="1:37" ht="12.75">
      <c r="A20" s="4"/>
      <c r="B20" s="154"/>
      <c r="C20" s="94"/>
      <c r="D20" s="94"/>
      <c r="E20" s="490"/>
      <c r="F20" s="490"/>
      <c r="G20" s="490"/>
      <c r="H20" s="490"/>
      <c r="I20" s="490"/>
      <c r="J20" s="149"/>
      <c r="K20" s="149"/>
      <c r="L20" s="149"/>
      <c r="M20" s="9"/>
      <c r="N20" s="43"/>
      <c r="O20" s="22"/>
      <c r="P20" s="4"/>
      <c r="Q20" s="4"/>
      <c r="R20" s="4"/>
      <c r="S20" s="4"/>
      <c r="T20" s="4"/>
      <c r="U20" s="4"/>
      <c r="V20" s="4"/>
      <c r="W20" s="4"/>
      <c r="X20" s="4"/>
      <c r="Y20" s="4"/>
      <c r="Z20" s="4"/>
      <c r="AA20" s="4"/>
      <c r="AB20" s="4"/>
      <c r="AC20" s="4"/>
      <c r="AD20" s="4"/>
      <c r="AE20" s="4"/>
      <c r="AF20" s="4"/>
      <c r="AG20" s="4"/>
      <c r="AH20" s="4"/>
      <c r="AI20" s="4"/>
      <c r="AJ20" s="4"/>
      <c r="AK20" s="4"/>
    </row>
    <row r="21" spans="1:37" ht="12.75">
      <c r="A21" s="4"/>
      <c r="B21" s="154"/>
      <c r="C21" s="94"/>
      <c r="D21" s="94"/>
      <c r="E21" s="104" t="s">
        <v>88</v>
      </c>
      <c r="F21" s="159"/>
      <c r="G21" s="104" t="s">
        <v>132</v>
      </c>
      <c r="H21" s="159"/>
      <c r="I21" s="104" t="s">
        <v>87</v>
      </c>
      <c r="J21" s="159"/>
      <c r="K21" s="104" t="s">
        <v>22</v>
      </c>
      <c r="L21" s="94"/>
      <c r="M21" s="22"/>
      <c r="N21" s="44"/>
      <c r="O21" s="22"/>
      <c r="P21" s="4"/>
      <c r="Q21" s="4"/>
      <c r="R21" s="4"/>
      <c r="S21" s="4"/>
      <c r="T21" s="4"/>
      <c r="U21" s="4"/>
      <c r="V21" s="4"/>
      <c r="W21" s="4"/>
      <c r="X21" s="4"/>
      <c r="Y21" s="4"/>
      <c r="Z21" s="4"/>
      <c r="AA21" s="4"/>
      <c r="AB21" s="4"/>
      <c r="AC21" s="4"/>
      <c r="AD21" s="4"/>
      <c r="AE21" s="4"/>
      <c r="AF21" s="4"/>
      <c r="AG21" s="4"/>
      <c r="AH21" s="4"/>
      <c r="AI21" s="4"/>
      <c r="AJ21" s="4"/>
      <c r="AK21" s="4"/>
    </row>
    <row r="22" spans="1:37" ht="12.75">
      <c r="A22" s="4"/>
      <c r="B22" s="154"/>
      <c r="C22" s="94"/>
      <c r="D22" s="94"/>
      <c r="E22" s="94"/>
      <c r="F22" s="94"/>
      <c r="G22" s="94"/>
      <c r="H22" s="94"/>
      <c r="I22" s="94"/>
      <c r="J22" s="94"/>
      <c r="K22" s="94"/>
      <c r="L22" s="94"/>
      <c r="M22" s="23"/>
      <c r="N22" s="49"/>
      <c r="O22" s="23"/>
      <c r="P22" s="4"/>
      <c r="Q22" s="4"/>
      <c r="R22" s="4"/>
      <c r="S22" s="4"/>
      <c r="T22" s="4"/>
      <c r="U22" s="4"/>
      <c r="V22" s="4"/>
      <c r="W22" s="4"/>
      <c r="X22" s="4"/>
      <c r="Y22" s="4"/>
      <c r="Z22" s="4"/>
      <c r="AA22" s="4"/>
      <c r="AB22" s="4"/>
      <c r="AC22" s="4"/>
      <c r="AD22" s="4"/>
      <c r="AE22" s="4"/>
      <c r="AF22" s="4"/>
      <c r="AG22" s="4"/>
      <c r="AH22" s="4"/>
      <c r="AI22" s="4"/>
      <c r="AJ22" s="4"/>
      <c r="AK22" s="4"/>
    </row>
    <row r="23" spans="1:37" ht="12.75">
      <c r="A23" s="4"/>
      <c r="B23" s="154"/>
      <c r="C23" s="94"/>
      <c r="D23" s="94" t="s">
        <v>65</v>
      </c>
      <c r="E23" s="161">
        <f>SUM(IncomeStatements!$H$129)*3800</f>
        <v>5681000</v>
      </c>
      <c r="F23" s="161"/>
      <c r="G23" s="161">
        <f>SUM(IncomeStatements!$H$129)*3660</f>
        <v>5471700</v>
      </c>
      <c r="H23" s="161"/>
      <c r="I23" s="161">
        <f>SUM(IncomeStatements!$H$129)*3510</f>
        <v>5247450</v>
      </c>
      <c r="J23" s="161"/>
      <c r="K23" s="161">
        <f>SUM(IncomeStatements!$D$10)</f>
        <v>5083000</v>
      </c>
      <c r="L23" s="94"/>
      <c r="M23" s="24"/>
      <c r="N23" s="60"/>
      <c r="O23" s="23"/>
      <c r="P23" s="4"/>
      <c r="Q23" s="4"/>
      <c r="R23" s="4"/>
      <c r="S23" s="4"/>
      <c r="T23" s="4"/>
      <c r="U23" s="4"/>
      <c r="V23" s="4"/>
      <c r="W23" s="4"/>
      <c r="X23" s="4"/>
      <c r="Y23" s="4"/>
      <c r="Z23" s="4"/>
      <c r="AA23" s="4"/>
      <c r="AB23" s="4"/>
      <c r="AC23" s="4"/>
      <c r="AD23" s="4"/>
      <c r="AE23" s="4"/>
      <c r="AF23" s="4"/>
      <c r="AG23" s="4"/>
      <c r="AH23" s="4"/>
      <c r="AI23" s="4"/>
      <c r="AJ23" s="4"/>
      <c r="AK23" s="4"/>
    </row>
    <row r="24" spans="1:37" ht="12.75">
      <c r="A24" s="4"/>
      <c r="B24" s="154"/>
      <c r="C24" s="94"/>
      <c r="D24" s="94"/>
      <c r="E24" s="165"/>
      <c r="F24" s="165"/>
      <c r="G24" s="165"/>
      <c r="H24" s="165"/>
      <c r="I24" s="165"/>
      <c r="J24" s="165"/>
      <c r="K24" s="165"/>
      <c r="L24" s="94"/>
      <c r="M24" s="23"/>
      <c r="N24" s="49"/>
      <c r="O24" s="23"/>
      <c r="P24" s="4"/>
      <c r="Q24" s="4"/>
      <c r="R24" s="4"/>
      <c r="S24" s="4"/>
      <c r="T24" s="4"/>
      <c r="U24" s="4"/>
      <c r="V24" s="4"/>
      <c r="W24" s="4"/>
      <c r="X24" s="4"/>
      <c r="Y24" s="4"/>
      <c r="Z24" s="4"/>
      <c r="AA24" s="4"/>
      <c r="AB24" s="4"/>
      <c r="AC24" s="4"/>
      <c r="AD24" s="4"/>
      <c r="AE24" s="4"/>
      <c r="AF24" s="4"/>
      <c r="AG24" s="4"/>
      <c r="AH24" s="4"/>
      <c r="AI24" s="4"/>
      <c r="AJ24" s="4"/>
      <c r="AK24" s="4"/>
    </row>
    <row r="25" spans="1:37" ht="12.75">
      <c r="A25" s="4"/>
      <c r="B25" s="154"/>
      <c r="C25" s="94"/>
      <c r="D25" s="94" t="s">
        <v>144</v>
      </c>
      <c r="E25" s="210">
        <f>E23/SUM(IncomeStatements!$D$10)</f>
        <v>1.1176470588235294</v>
      </c>
      <c r="F25" s="161"/>
      <c r="G25" s="210">
        <f>G23/SUM(IncomeStatements!$D$10)</f>
        <v>1.076470588235294</v>
      </c>
      <c r="H25" s="161"/>
      <c r="I25" s="210">
        <f>I23/SUM(IncomeStatements!$D$10)</f>
        <v>1.0323529411764707</v>
      </c>
      <c r="J25" s="161"/>
      <c r="K25" s="210">
        <f>SUM(IncomeStatements!D10/SUM(IncomeStatements!$D$10))</f>
        <v>1</v>
      </c>
      <c r="L25" s="94"/>
      <c r="M25" s="26"/>
      <c r="N25" s="51"/>
      <c r="O25" s="23"/>
      <c r="P25" s="4"/>
      <c r="Q25" s="4"/>
      <c r="R25" s="4"/>
      <c r="S25" s="4"/>
      <c r="T25" s="4"/>
      <c r="U25" s="4"/>
      <c r="V25" s="4"/>
      <c r="W25" s="4"/>
      <c r="X25" s="4"/>
      <c r="Y25" s="4"/>
      <c r="Z25" s="4"/>
      <c r="AA25" s="4"/>
      <c r="AB25" s="4"/>
      <c r="AC25" s="4"/>
      <c r="AD25" s="4"/>
      <c r="AE25" s="4"/>
      <c r="AF25" s="4"/>
      <c r="AG25" s="4"/>
      <c r="AH25" s="4"/>
      <c r="AI25" s="4"/>
      <c r="AJ25" s="4"/>
      <c r="AK25" s="4"/>
    </row>
    <row r="26" spans="1:37" ht="12.75">
      <c r="A26" s="4"/>
      <c r="B26" s="12"/>
      <c r="C26" s="4"/>
      <c r="D26" s="4"/>
      <c r="E26" s="26"/>
      <c r="F26" s="26"/>
      <c r="G26" s="26"/>
      <c r="H26" s="26"/>
      <c r="I26" s="26"/>
      <c r="J26" s="26"/>
      <c r="K26" s="26"/>
      <c r="L26" s="26"/>
      <c r="M26" s="26"/>
      <c r="N26" s="51"/>
      <c r="O26" s="23"/>
      <c r="P26" s="4"/>
      <c r="Q26" s="4"/>
      <c r="R26" s="4"/>
      <c r="S26" s="4"/>
      <c r="T26" s="4"/>
      <c r="U26" s="4"/>
      <c r="V26" s="4"/>
      <c r="W26" s="4"/>
      <c r="X26" s="4"/>
      <c r="Y26" s="4"/>
      <c r="Z26" s="4"/>
      <c r="AA26" s="4"/>
      <c r="AB26" s="4"/>
      <c r="AC26" s="4"/>
      <c r="AD26" s="4"/>
      <c r="AE26" s="4"/>
      <c r="AF26" s="4"/>
      <c r="AG26" s="4"/>
      <c r="AH26" s="4"/>
      <c r="AI26" s="4"/>
      <c r="AJ26" s="4"/>
      <c r="AK26" s="4"/>
    </row>
    <row r="27" spans="1:37" ht="12.75">
      <c r="A27" s="4"/>
      <c r="B27" s="12"/>
      <c r="C27" s="4"/>
      <c r="D27" s="10"/>
      <c r="E27" s="41"/>
      <c r="F27" s="41"/>
      <c r="G27" s="41"/>
      <c r="H27" s="41"/>
      <c r="I27" s="41"/>
      <c r="J27" s="41"/>
      <c r="K27" s="41"/>
      <c r="L27" s="41"/>
      <c r="M27" s="23"/>
      <c r="N27" s="49"/>
      <c r="O27" s="23"/>
      <c r="P27" s="4"/>
      <c r="Q27" s="4"/>
      <c r="R27" s="4"/>
      <c r="S27" s="4"/>
      <c r="T27" s="4"/>
      <c r="U27" s="4"/>
      <c r="V27" s="4"/>
      <c r="W27" s="4"/>
      <c r="X27" s="4"/>
      <c r="Y27" s="4"/>
      <c r="Z27" s="4"/>
      <c r="AA27" s="4"/>
      <c r="AB27" s="4"/>
      <c r="AC27" s="4"/>
      <c r="AD27" s="4"/>
      <c r="AE27" s="4"/>
      <c r="AF27" s="4"/>
      <c r="AG27" s="4"/>
      <c r="AH27" s="4"/>
      <c r="AI27" s="4"/>
      <c r="AJ27" s="4"/>
      <c r="AK27" s="4"/>
    </row>
    <row r="28" spans="1:37" ht="12.75">
      <c r="A28" s="4"/>
      <c r="B28" s="12"/>
      <c r="C28" s="4"/>
      <c r="D28" s="10"/>
      <c r="E28" s="41"/>
      <c r="F28" s="41"/>
      <c r="G28" s="41"/>
      <c r="H28" s="41"/>
      <c r="I28" s="41"/>
      <c r="J28" s="41"/>
      <c r="K28" s="41"/>
      <c r="L28" s="41"/>
      <c r="M28" s="4"/>
      <c r="N28" s="12"/>
      <c r="O28" s="4"/>
      <c r="P28" s="4"/>
      <c r="Q28" s="4"/>
      <c r="R28" s="4"/>
      <c r="S28" s="4"/>
      <c r="T28" s="4"/>
      <c r="U28" s="4"/>
      <c r="V28" s="4"/>
      <c r="W28" s="4"/>
      <c r="X28" s="4"/>
      <c r="Y28" s="4"/>
      <c r="Z28" s="4"/>
      <c r="AA28" s="4"/>
      <c r="AB28" s="4"/>
      <c r="AC28" s="4"/>
      <c r="AD28" s="4"/>
      <c r="AE28" s="4"/>
      <c r="AF28" s="4"/>
      <c r="AG28" s="4"/>
      <c r="AH28" s="4"/>
      <c r="AI28" s="4"/>
      <c r="AJ28" s="4"/>
      <c r="AK28" s="4"/>
    </row>
    <row r="29" spans="1:37" ht="12.75">
      <c r="A29" s="4"/>
      <c r="B29" s="12"/>
      <c r="C29" s="12"/>
      <c r="D29" s="12"/>
      <c r="E29" s="12"/>
      <c r="F29" s="12"/>
      <c r="G29" s="12"/>
      <c r="H29" s="12"/>
      <c r="I29" s="12"/>
      <c r="J29" s="12"/>
      <c r="K29" s="12"/>
      <c r="L29" s="12"/>
      <c r="M29" s="12"/>
      <c r="N29" s="12"/>
      <c r="O29" s="4"/>
      <c r="P29" s="4"/>
      <c r="Q29" s="4"/>
      <c r="R29" s="4"/>
      <c r="S29" s="4"/>
      <c r="T29" s="4"/>
      <c r="U29" s="4"/>
      <c r="V29" s="4"/>
      <c r="W29" s="4"/>
      <c r="X29" s="4"/>
      <c r="Y29" s="4"/>
      <c r="Z29" s="4"/>
      <c r="AA29" s="4"/>
      <c r="AB29" s="4"/>
      <c r="AC29" s="4"/>
      <c r="AD29" s="4"/>
      <c r="AE29" s="4"/>
      <c r="AF29" s="4"/>
      <c r="AG29" s="4"/>
      <c r="AH29" s="4"/>
      <c r="AI29" s="4"/>
      <c r="AJ29" s="4"/>
      <c r="AK29" s="4"/>
    </row>
    <row r="30" spans="1:37" ht="12.75">
      <c r="A30" s="4"/>
      <c r="B30" s="4"/>
      <c r="C30" s="4"/>
      <c r="D30" s="504"/>
      <c r="E30" s="505"/>
      <c r="F30" s="505"/>
      <c r="G30" s="505"/>
      <c r="H30" s="505"/>
      <c r="I30" s="505"/>
      <c r="J30" s="505"/>
      <c r="K30" s="505"/>
      <c r="L30" s="505"/>
      <c r="M30" s="8"/>
      <c r="N30" s="8"/>
      <c r="O30" s="4"/>
      <c r="P30" s="4"/>
      <c r="Q30" s="4"/>
      <c r="R30" s="4"/>
      <c r="S30" s="4"/>
      <c r="T30" s="4"/>
      <c r="U30" s="4"/>
      <c r="V30" s="4"/>
      <c r="W30" s="4"/>
      <c r="X30" s="4"/>
      <c r="Y30" s="4"/>
      <c r="Z30" s="4"/>
      <c r="AA30" s="4"/>
      <c r="AB30" s="4"/>
      <c r="AC30" s="4"/>
      <c r="AD30" s="4"/>
      <c r="AE30" s="4"/>
      <c r="AF30" s="4"/>
      <c r="AG30" s="4"/>
      <c r="AH30" s="4"/>
      <c r="AI30" s="4"/>
      <c r="AJ30" s="4"/>
      <c r="AK30" s="4"/>
    </row>
    <row r="31" spans="1:37" ht="12.75">
      <c r="A31" s="4"/>
      <c r="B31" s="4"/>
      <c r="C31" s="4"/>
      <c r="D31" s="504"/>
      <c r="E31" s="505"/>
      <c r="F31" s="505"/>
      <c r="G31" s="505"/>
      <c r="H31" s="505"/>
      <c r="I31" s="505"/>
      <c r="J31" s="505"/>
      <c r="K31" s="505"/>
      <c r="L31" s="505"/>
      <c r="M31" s="8"/>
      <c r="N31" s="8"/>
      <c r="O31" s="4"/>
      <c r="P31" s="4"/>
      <c r="Q31" s="4"/>
      <c r="R31" s="4"/>
      <c r="S31" s="4"/>
      <c r="T31" s="4"/>
      <c r="U31" s="4"/>
      <c r="V31" s="4"/>
      <c r="W31" s="4"/>
      <c r="X31" s="4"/>
      <c r="Y31" s="4"/>
      <c r="Z31" s="4"/>
      <c r="AA31" s="4"/>
      <c r="AB31" s="4"/>
      <c r="AC31" s="4"/>
      <c r="AD31" s="4"/>
      <c r="AE31" s="4"/>
      <c r="AF31" s="4"/>
      <c r="AG31" s="4"/>
      <c r="AH31" s="4"/>
      <c r="AI31" s="4"/>
      <c r="AJ31" s="4"/>
      <c r="AK31" s="4"/>
    </row>
    <row r="32" spans="1:37" ht="12.75">
      <c r="A32" s="4"/>
      <c r="B32" s="4"/>
      <c r="C32" s="4"/>
      <c r="D32" s="506"/>
      <c r="E32" s="505"/>
      <c r="F32" s="505"/>
      <c r="G32" s="505"/>
      <c r="H32" s="505"/>
      <c r="I32" s="505"/>
      <c r="J32" s="505"/>
      <c r="K32" s="505"/>
      <c r="L32" s="505"/>
      <c r="M32" s="8"/>
      <c r="N32" s="8"/>
      <c r="O32" s="4"/>
      <c r="P32" s="4"/>
      <c r="Q32" s="4"/>
      <c r="R32" s="4"/>
      <c r="S32" s="4"/>
      <c r="T32" s="4"/>
      <c r="U32" s="4"/>
      <c r="V32" s="4"/>
      <c r="W32" s="4"/>
      <c r="X32" s="4"/>
      <c r="Y32" s="4"/>
      <c r="Z32" s="4"/>
      <c r="AA32" s="4"/>
      <c r="AB32" s="4"/>
      <c r="AC32" s="4"/>
      <c r="AD32" s="4"/>
      <c r="AE32" s="4"/>
      <c r="AF32" s="4"/>
      <c r="AG32" s="4"/>
      <c r="AH32" s="4"/>
      <c r="AI32" s="4"/>
      <c r="AJ32" s="4"/>
      <c r="AK32" s="4"/>
    </row>
    <row r="33" spans="1:37" ht="12.75">
      <c r="A33" s="4"/>
      <c r="B33" s="4"/>
      <c r="C33" s="4"/>
      <c r="D33" s="39"/>
      <c r="E33" s="38"/>
      <c r="F33" s="38"/>
      <c r="G33" s="38"/>
      <c r="H33" s="38"/>
      <c r="I33" s="38"/>
      <c r="J33" s="38"/>
      <c r="K33" s="38"/>
      <c r="L33" s="38"/>
      <c r="M33" s="8"/>
      <c r="N33" s="8"/>
      <c r="O33" s="4"/>
      <c r="P33" s="4"/>
      <c r="Q33" s="4"/>
      <c r="R33" s="4"/>
      <c r="S33" s="4"/>
      <c r="T33" s="4"/>
      <c r="U33" s="4"/>
      <c r="V33" s="4"/>
      <c r="W33" s="4"/>
      <c r="X33" s="4"/>
      <c r="Y33" s="4"/>
      <c r="Z33" s="4"/>
      <c r="AA33" s="4"/>
      <c r="AB33" s="4"/>
      <c r="AC33" s="4"/>
      <c r="AD33" s="4"/>
      <c r="AE33" s="4"/>
      <c r="AF33" s="4"/>
      <c r="AG33" s="4"/>
      <c r="AH33" s="4"/>
      <c r="AI33" s="4"/>
      <c r="AJ33" s="4"/>
      <c r="AK33" s="4"/>
    </row>
    <row r="34" spans="1:37" ht="12.75">
      <c r="A34" s="4"/>
      <c r="B34" s="4"/>
      <c r="C34" s="4"/>
      <c r="D34" s="8"/>
      <c r="E34" s="507"/>
      <c r="F34" s="507"/>
      <c r="G34" s="507"/>
      <c r="H34" s="507"/>
      <c r="I34" s="507"/>
      <c r="J34" s="9"/>
      <c r="K34" s="9"/>
      <c r="L34" s="9"/>
      <c r="M34" s="8"/>
      <c r="N34" s="8"/>
      <c r="O34" s="4"/>
      <c r="P34" s="4"/>
      <c r="Q34" s="4"/>
      <c r="R34" s="4"/>
      <c r="S34" s="4"/>
      <c r="T34" s="4"/>
      <c r="U34" s="4"/>
      <c r="V34" s="4"/>
      <c r="W34" s="4"/>
      <c r="X34" s="4"/>
      <c r="Y34" s="4"/>
      <c r="Z34" s="4"/>
      <c r="AA34" s="4"/>
      <c r="AB34" s="4"/>
      <c r="AC34" s="4"/>
      <c r="AD34" s="4"/>
      <c r="AE34" s="4"/>
      <c r="AF34" s="4"/>
      <c r="AG34" s="4"/>
      <c r="AH34" s="4"/>
      <c r="AI34" s="4"/>
      <c r="AJ34" s="4"/>
      <c r="AK34" s="4"/>
    </row>
    <row r="35" spans="1:37" ht="12.75">
      <c r="A35" s="4"/>
      <c r="B35" s="4"/>
      <c r="C35" s="4"/>
      <c r="D35" s="8"/>
      <c r="E35" s="22"/>
      <c r="F35" s="22"/>
      <c r="G35" s="22"/>
      <c r="H35" s="22"/>
      <c r="I35" s="22"/>
      <c r="J35" s="22"/>
      <c r="K35" s="22"/>
      <c r="L35" s="22"/>
      <c r="M35" s="8"/>
      <c r="N35" s="8"/>
      <c r="O35" s="4"/>
      <c r="P35" s="4"/>
      <c r="Q35" s="4"/>
      <c r="R35" s="4"/>
      <c r="S35" s="4"/>
      <c r="T35" s="4"/>
      <c r="U35" s="4"/>
      <c r="V35" s="4"/>
      <c r="W35" s="4"/>
      <c r="X35" s="4"/>
      <c r="Y35" s="4"/>
      <c r="Z35" s="4"/>
      <c r="AA35" s="4"/>
      <c r="AB35" s="4"/>
      <c r="AC35" s="4"/>
      <c r="AD35" s="4"/>
      <c r="AE35" s="4"/>
      <c r="AF35" s="4"/>
      <c r="AG35" s="4"/>
      <c r="AH35" s="4"/>
      <c r="AI35" s="4"/>
      <c r="AJ35" s="4"/>
      <c r="AK35" s="4"/>
    </row>
    <row r="36" spans="1:37" ht="12.75">
      <c r="A36" s="4"/>
      <c r="B36" s="4"/>
      <c r="C36" s="4"/>
      <c r="D36" s="10"/>
      <c r="E36" s="8"/>
      <c r="F36" s="8"/>
      <c r="G36" s="8"/>
      <c r="H36" s="8"/>
      <c r="I36" s="8"/>
      <c r="J36" s="8"/>
      <c r="K36" s="8"/>
      <c r="L36" s="8"/>
      <c r="M36" s="8"/>
      <c r="N36" s="8"/>
      <c r="O36" s="4"/>
      <c r="P36" s="4"/>
      <c r="Q36" s="4"/>
      <c r="R36" s="4"/>
      <c r="S36" s="4"/>
      <c r="T36" s="4"/>
      <c r="U36" s="4"/>
      <c r="V36" s="4"/>
      <c r="W36" s="4"/>
      <c r="X36" s="4"/>
      <c r="Y36" s="4"/>
      <c r="Z36" s="4"/>
      <c r="AA36" s="4"/>
      <c r="AB36" s="4"/>
      <c r="AC36" s="4"/>
      <c r="AD36" s="4"/>
      <c r="AE36" s="4"/>
      <c r="AF36" s="4"/>
      <c r="AG36" s="4"/>
      <c r="AH36" s="4"/>
      <c r="AI36" s="4"/>
      <c r="AJ36" s="4"/>
      <c r="AK36" s="4"/>
    </row>
    <row r="37" spans="1:37" ht="12.75">
      <c r="A37" s="4"/>
      <c r="B37" s="4"/>
      <c r="C37" s="4"/>
      <c r="D37" s="10"/>
      <c r="E37" s="40"/>
      <c r="F37" s="40"/>
      <c r="G37" s="40"/>
      <c r="H37" s="40"/>
      <c r="I37" s="40"/>
      <c r="J37" s="40"/>
      <c r="K37" s="40"/>
      <c r="L37" s="40"/>
      <c r="M37" s="8"/>
      <c r="N37" s="8"/>
      <c r="O37" s="4"/>
      <c r="P37" s="4"/>
      <c r="Q37" s="4"/>
      <c r="R37" s="4"/>
      <c r="S37" s="4"/>
      <c r="T37" s="4"/>
      <c r="U37" s="4"/>
      <c r="V37" s="4"/>
      <c r="W37" s="4"/>
      <c r="X37" s="4"/>
      <c r="Y37" s="4"/>
      <c r="Z37" s="4"/>
      <c r="AA37" s="4"/>
      <c r="AB37" s="4"/>
      <c r="AC37" s="4"/>
      <c r="AD37" s="4"/>
      <c r="AE37" s="4"/>
      <c r="AF37" s="4"/>
      <c r="AG37" s="4"/>
      <c r="AH37" s="4"/>
      <c r="AI37" s="4"/>
      <c r="AJ37" s="4"/>
      <c r="AK37" s="4"/>
    </row>
    <row r="38" spans="1:37" ht="12.75">
      <c r="A38" s="4"/>
      <c r="B38" s="4"/>
      <c r="C38" s="4"/>
      <c r="D38" s="8"/>
      <c r="E38" s="29"/>
      <c r="F38" s="29"/>
      <c r="G38" s="29"/>
      <c r="H38" s="29"/>
      <c r="I38" s="29"/>
      <c r="J38" s="29"/>
      <c r="K38" s="29"/>
      <c r="L38" s="29"/>
      <c r="M38" s="8"/>
      <c r="N38" s="8"/>
      <c r="O38" s="4"/>
      <c r="P38" s="4"/>
      <c r="Q38" s="4"/>
      <c r="R38" s="4"/>
      <c r="S38" s="4"/>
      <c r="T38" s="4"/>
      <c r="U38" s="4"/>
      <c r="V38" s="4"/>
      <c r="W38" s="4"/>
      <c r="X38" s="4"/>
      <c r="Y38" s="4"/>
      <c r="Z38" s="4"/>
      <c r="AA38" s="4"/>
      <c r="AB38" s="4"/>
      <c r="AC38" s="4"/>
      <c r="AD38" s="4"/>
      <c r="AE38" s="4"/>
      <c r="AF38" s="4"/>
      <c r="AG38" s="4"/>
      <c r="AH38" s="4"/>
      <c r="AI38" s="4"/>
      <c r="AJ38" s="4"/>
      <c r="AK38" s="4"/>
    </row>
    <row r="39" spans="1:37" ht="12.75">
      <c r="A39" s="4"/>
      <c r="B39" s="4"/>
      <c r="C39" s="4"/>
      <c r="D39" s="10"/>
      <c r="E39" s="40"/>
      <c r="F39" s="40"/>
      <c r="G39" s="40"/>
      <c r="H39" s="40"/>
      <c r="I39" s="40"/>
      <c r="J39" s="40"/>
      <c r="K39" s="40"/>
      <c r="L39" s="40"/>
      <c r="M39" s="8"/>
      <c r="N39" s="8"/>
      <c r="O39" s="4"/>
      <c r="P39" s="4"/>
      <c r="Q39" s="4"/>
      <c r="R39" s="4"/>
      <c r="S39" s="4"/>
      <c r="T39" s="4"/>
      <c r="U39" s="4"/>
      <c r="V39" s="4"/>
      <c r="W39" s="4"/>
      <c r="X39" s="4"/>
      <c r="Y39" s="4"/>
      <c r="Z39" s="4"/>
      <c r="AA39" s="4"/>
      <c r="AB39" s="4"/>
      <c r="AC39" s="4"/>
      <c r="AD39" s="4"/>
      <c r="AE39" s="4"/>
      <c r="AF39" s="4"/>
      <c r="AG39" s="4"/>
      <c r="AH39" s="4"/>
      <c r="AI39" s="4"/>
      <c r="AJ39" s="4"/>
      <c r="AK39" s="4"/>
    </row>
    <row r="40" spans="1:37" ht="12.75">
      <c r="A40" s="4"/>
      <c r="B40" s="4"/>
      <c r="C40" s="4"/>
      <c r="D40" s="8"/>
      <c r="E40" s="41"/>
      <c r="F40" s="41"/>
      <c r="G40" s="41"/>
      <c r="H40" s="41"/>
      <c r="I40" s="41"/>
      <c r="J40" s="41"/>
      <c r="K40" s="41"/>
      <c r="L40" s="41"/>
      <c r="M40" s="8"/>
      <c r="N40" s="8"/>
      <c r="O40" s="4"/>
      <c r="P40" s="4"/>
      <c r="Q40" s="4"/>
      <c r="R40" s="4"/>
      <c r="S40" s="4"/>
      <c r="T40" s="4"/>
      <c r="U40" s="4"/>
      <c r="V40" s="4"/>
      <c r="W40" s="4"/>
      <c r="X40" s="4"/>
      <c r="Y40" s="4"/>
      <c r="Z40" s="4"/>
      <c r="AA40" s="4"/>
      <c r="AB40" s="4"/>
      <c r="AC40" s="4"/>
      <c r="AD40" s="4"/>
      <c r="AE40" s="4"/>
      <c r="AF40" s="4"/>
      <c r="AG40" s="4"/>
      <c r="AH40" s="4"/>
      <c r="AI40" s="4"/>
      <c r="AJ40" s="4"/>
      <c r="AK40" s="4"/>
    </row>
    <row r="41" spans="1:37" ht="12.75">
      <c r="A41" s="4"/>
      <c r="B41" s="4"/>
      <c r="C41" s="4"/>
      <c r="D41" s="10"/>
      <c r="E41" s="41"/>
      <c r="F41" s="41"/>
      <c r="G41" s="41"/>
      <c r="H41" s="41"/>
      <c r="I41" s="41"/>
      <c r="J41" s="41"/>
      <c r="K41" s="41"/>
      <c r="L41" s="41"/>
      <c r="M41" s="8"/>
      <c r="N41" s="8"/>
      <c r="O41" s="4"/>
      <c r="P41" s="4"/>
      <c r="Q41" s="4"/>
      <c r="R41" s="4"/>
      <c r="S41" s="4"/>
      <c r="T41" s="4"/>
      <c r="U41" s="4"/>
      <c r="V41" s="4"/>
      <c r="W41" s="4"/>
      <c r="X41" s="4"/>
      <c r="Y41" s="4"/>
      <c r="Z41" s="4"/>
      <c r="AA41" s="4"/>
      <c r="AB41" s="4"/>
      <c r="AC41" s="4"/>
      <c r="AD41" s="4"/>
      <c r="AE41" s="4"/>
      <c r="AF41" s="4"/>
      <c r="AG41" s="4"/>
      <c r="AH41" s="4"/>
      <c r="AI41" s="4"/>
      <c r="AJ41" s="4"/>
      <c r="AK41" s="4"/>
    </row>
    <row r="42" spans="1:37" ht="12.75">
      <c r="A42" s="4"/>
      <c r="B42" s="4"/>
      <c r="C42" s="4"/>
      <c r="D42" s="8"/>
      <c r="E42" s="8"/>
      <c r="F42" s="8"/>
      <c r="G42" s="8"/>
      <c r="H42" s="8"/>
      <c r="I42" s="8"/>
      <c r="J42" s="8"/>
      <c r="K42" s="8"/>
      <c r="L42" s="8"/>
      <c r="M42" s="8"/>
      <c r="N42" s="8"/>
      <c r="O42" s="4"/>
      <c r="P42" s="4"/>
      <c r="Q42" s="4"/>
      <c r="R42" s="4"/>
      <c r="S42" s="4"/>
      <c r="T42" s="4"/>
      <c r="U42" s="4"/>
      <c r="V42" s="4"/>
      <c r="W42" s="4"/>
      <c r="X42" s="4"/>
      <c r="Y42" s="4"/>
      <c r="Z42" s="4"/>
      <c r="AA42" s="4"/>
      <c r="AB42" s="4"/>
      <c r="AC42" s="4"/>
      <c r="AD42" s="4"/>
      <c r="AE42" s="4"/>
      <c r="AF42" s="4"/>
      <c r="AG42" s="4"/>
      <c r="AH42" s="4"/>
      <c r="AI42" s="4"/>
      <c r="AJ42" s="4"/>
      <c r="AK42" s="4"/>
    </row>
    <row r="43" spans="1:37"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sheetData>
  <sheetProtection password="CE3F" sheet="1" selectLockedCells="1" selectUnlockedCells="1"/>
  <mergeCells count="12">
    <mergeCell ref="D17:L17"/>
    <mergeCell ref="D18:L18"/>
    <mergeCell ref="D30:L30"/>
    <mergeCell ref="D31:L31"/>
    <mergeCell ref="D32:L32"/>
    <mergeCell ref="E34:I34"/>
    <mergeCell ref="D4:L4"/>
    <mergeCell ref="D5:L5"/>
    <mergeCell ref="D6:L6"/>
    <mergeCell ref="E20:I20"/>
    <mergeCell ref="E8:I8"/>
    <mergeCell ref="D16:L16"/>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X171"/>
  <sheetViews>
    <sheetView zoomScalePageLayoutView="0" workbookViewId="0" topLeftCell="A1">
      <selection activeCell="A1" sqref="A1"/>
    </sheetView>
  </sheetViews>
  <sheetFormatPr defaultColWidth="9.140625" defaultRowHeight="12.75"/>
  <cols>
    <col min="1" max="1" width="2.7109375" style="0" customWidth="1"/>
    <col min="2" max="3" width="3.00390625" style="0" customWidth="1"/>
    <col min="4" max="4" width="81.28125" style="0" customWidth="1"/>
    <col min="5" max="5" width="2.8515625" style="0" customWidth="1"/>
    <col min="6" max="6" width="2.421875" style="0" customWidth="1"/>
    <col min="7" max="7" width="5.28125" style="0" customWidth="1"/>
  </cols>
  <sheetData>
    <row r="1" spans="1:24" ht="12.75">
      <c r="A1" s="4"/>
      <c r="B1" s="4"/>
      <c r="C1" s="4"/>
      <c r="D1" s="4"/>
      <c r="E1" s="4"/>
      <c r="F1" s="4"/>
      <c r="G1" s="4"/>
      <c r="H1" s="4"/>
      <c r="I1" s="4"/>
      <c r="J1" s="4"/>
      <c r="K1" s="4"/>
      <c r="L1" s="4"/>
      <c r="M1" s="4"/>
      <c r="N1" s="4"/>
      <c r="O1" s="4"/>
      <c r="P1" s="4"/>
      <c r="Q1" s="4"/>
      <c r="R1" s="4"/>
      <c r="S1" s="4"/>
      <c r="T1" s="4"/>
      <c r="U1" s="4"/>
      <c r="V1" s="4"/>
      <c r="W1" s="4"/>
      <c r="X1" s="4"/>
    </row>
    <row r="2" spans="1:24" ht="12.75">
      <c r="A2" s="4"/>
      <c r="B2" s="12"/>
      <c r="C2" s="12"/>
      <c r="D2" s="12"/>
      <c r="E2" s="12"/>
      <c r="F2" s="12"/>
      <c r="G2" s="4"/>
      <c r="H2" s="4"/>
      <c r="I2" s="4"/>
      <c r="J2" s="4"/>
      <c r="K2" s="4"/>
      <c r="L2" s="4"/>
      <c r="M2" s="4"/>
      <c r="N2" s="4"/>
      <c r="O2" s="4"/>
      <c r="P2" s="4"/>
      <c r="Q2" s="4"/>
      <c r="R2" s="4"/>
      <c r="S2" s="4"/>
      <c r="T2" s="4"/>
      <c r="U2" s="4"/>
      <c r="V2" s="4"/>
      <c r="W2" s="4"/>
      <c r="X2" s="4"/>
    </row>
    <row r="3" spans="1:24" ht="15.75">
      <c r="A3" s="4"/>
      <c r="B3" s="12"/>
      <c r="C3" s="4"/>
      <c r="D3" s="395" t="s">
        <v>499</v>
      </c>
      <c r="E3" s="4"/>
      <c r="F3" s="12"/>
      <c r="G3" s="4"/>
      <c r="H3" s="4"/>
      <c r="I3" s="4"/>
      <c r="J3" s="4"/>
      <c r="K3" s="4"/>
      <c r="L3" s="4"/>
      <c r="M3" s="4"/>
      <c r="N3" s="4"/>
      <c r="O3" s="4"/>
      <c r="P3" s="4"/>
      <c r="Q3" s="4"/>
      <c r="R3" s="4"/>
      <c r="S3" s="4"/>
      <c r="T3" s="4"/>
      <c r="U3" s="4"/>
      <c r="V3" s="4"/>
      <c r="W3" s="4"/>
      <c r="X3" s="4"/>
    </row>
    <row r="4" spans="1:24" ht="12.75">
      <c r="A4" s="4"/>
      <c r="B4" s="12"/>
      <c r="C4" s="4"/>
      <c r="D4" s="277"/>
      <c r="E4" s="4"/>
      <c r="F4" s="12"/>
      <c r="G4" s="4"/>
      <c r="H4" s="4"/>
      <c r="I4" s="4"/>
      <c r="J4" s="4"/>
      <c r="K4" s="4"/>
      <c r="L4" s="4"/>
      <c r="M4" s="4"/>
      <c r="N4" s="4"/>
      <c r="O4" s="4"/>
      <c r="P4" s="4"/>
      <c r="Q4" s="4"/>
      <c r="R4" s="4"/>
      <c r="S4" s="4"/>
      <c r="T4" s="4"/>
      <c r="U4" s="4"/>
      <c r="V4" s="4"/>
      <c r="W4" s="4"/>
      <c r="X4" s="4"/>
    </row>
    <row r="5" spans="1:24" ht="12.75">
      <c r="A5" s="4"/>
      <c r="B5" s="12"/>
      <c r="C5" s="4"/>
      <c r="D5" s="508" t="s">
        <v>495</v>
      </c>
      <c r="E5" s="4"/>
      <c r="F5" s="12"/>
      <c r="G5" s="4"/>
      <c r="H5" s="4"/>
      <c r="I5" s="4"/>
      <c r="J5" s="4"/>
      <c r="K5" s="4"/>
      <c r="L5" s="4"/>
      <c r="M5" s="4"/>
      <c r="N5" s="4"/>
      <c r="O5" s="4"/>
      <c r="P5" s="4"/>
      <c r="Q5" s="4"/>
      <c r="R5" s="4"/>
      <c r="S5" s="4"/>
      <c r="T5" s="4"/>
      <c r="U5" s="4"/>
      <c r="V5" s="4"/>
      <c r="W5" s="4"/>
      <c r="X5" s="4"/>
    </row>
    <row r="6" spans="1:24" ht="12.75">
      <c r="A6" s="4"/>
      <c r="B6" s="12"/>
      <c r="C6" s="4"/>
      <c r="D6" s="509"/>
      <c r="E6" s="4"/>
      <c r="F6" s="12"/>
      <c r="G6" s="4"/>
      <c r="H6" s="4"/>
      <c r="I6" s="4"/>
      <c r="J6" s="4"/>
      <c r="K6" s="4"/>
      <c r="L6" s="4"/>
      <c r="M6" s="4"/>
      <c r="N6" s="4"/>
      <c r="O6" s="4"/>
      <c r="P6" s="4"/>
      <c r="Q6" s="4"/>
      <c r="R6" s="4"/>
      <c r="S6" s="4"/>
      <c r="T6" s="4"/>
      <c r="U6" s="4"/>
      <c r="V6" s="4"/>
      <c r="W6" s="4"/>
      <c r="X6" s="4"/>
    </row>
    <row r="7" spans="1:24" ht="12.75">
      <c r="A7" s="4"/>
      <c r="B7" s="12"/>
      <c r="C7" s="4"/>
      <c r="D7" s="509"/>
      <c r="E7" s="4"/>
      <c r="F7" s="12"/>
      <c r="G7" s="4"/>
      <c r="H7" s="4"/>
      <c r="I7" s="4"/>
      <c r="J7" s="4"/>
      <c r="K7" s="4"/>
      <c r="L7" s="4"/>
      <c r="M7" s="4"/>
      <c r="N7" s="4"/>
      <c r="O7" s="4"/>
      <c r="P7" s="4"/>
      <c r="Q7" s="4"/>
      <c r="R7" s="4"/>
      <c r="S7" s="4"/>
      <c r="T7" s="4"/>
      <c r="U7" s="4"/>
      <c r="V7" s="4"/>
      <c r="W7" s="4"/>
      <c r="X7" s="4"/>
    </row>
    <row r="8" spans="1:24" ht="12.75">
      <c r="A8" s="4"/>
      <c r="B8" s="12"/>
      <c r="C8" s="4"/>
      <c r="D8" s="509"/>
      <c r="E8" s="4"/>
      <c r="F8" s="12"/>
      <c r="G8" s="4"/>
      <c r="H8" s="4"/>
      <c r="I8" s="4"/>
      <c r="J8" s="4"/>
      <c r="K8" s="4"/>
      <c r="L8" s="4"/>
      <c r="M8" s="4"/>
      <c r="N8" s="4"/>
      <c r="O8" s="4"/>
      <c r="P8" s="4"/>
      <c r="Q8" s="4"/>
      <c r="R8" s="4"/>
      <c r="S8" s="4"/>
      <c r="T8" s="4"/>
      <c r="U8" s="4"/>
      <c r="V8" s="4"/>
      <c r="W8" s="4"/>
      <c r="X8" s="4"/>
    </row>
    <row r="9" spans="1:24" ht="12.75">
      <c r="A9" s="4"/>
      <c r="B9" s="12"/>
      <c r="C9" s="4"/>
      <c r="D9" s="509"/>
      <c r="E9" s="4"/>
      <c r="F9" s="12"/>
      <c r="G9" s="4"/>
      <c r="H9" s="4"/>
      <c r="I9" s="4"/>
      <c r="J9" s="4"/>
      <c r="K9" s="4"/>
      <c r="L9" s="4"/>
      <c r="M9" s="4"/>
      <c r="N9" s="4"/>
      <c r="O9" s="4"/>
      <c r="P9" s="4"/>
      <c r="Q9" s="4"/>
      <c r="R9" s="4"/>
      <c r="S9" s="4"/>
      <c r="T9" s="4"/>
      <c r="U9" s="4"/>
      <c r="V9" s="4"/>
      <c r="W9" s="4"/>
      <c r="X9" s="4"/>
    </row>
    <row r="10" spans="1:24" ht="12.75">
      <c r="A10" s="4"/>
      <c r="B10" s="12"/>
      <c r="C10" s="4"/>
      <c r="D10" s="509"/>
      <c r="E10" s="4"/>
      <c r="F10" s="12"/>
      <c r="G10" s="4"/>
      <c r="H10" s="4"/>
      <c r="I10" s="4"/>
      <c r="J10" s="4"/>
      <c r="K10" s="4"/>
      <c r="L10" s="4"/>
      <c r="M10" s="4"/>
      <c r="N10" s="4"/>
      <c r="O10" s="4"/>
      <c r="P10" s="4"/>
      <c r="Q10" s="4"/>
      <c r="R10" s="4"/>
      <c r="S10" s="4"/>
      <c r="T10" s="4"/>
      <c r="U10" s="4"/>
      <c r="V10" s="4"/>
      <c r="W10" s="4"/>
      <c r="X10" s="4"/>
    </row>
    <row r="11" spans="1:24" ht="12.75">
      <c r="A11" s="4"/>
      <c r="B11" s="12"/>
      <c r="C11" s="4"/>
      <c r="D11" s="509"/>
      <c r="E11" s="4"/>
      <c r="F11" s="12"/>
      <c r="G11" s="4"/>
      <c r="H11" s="4"/>
      <c r="I11" s="4"/>
      <c r="J11" s="4"/>
      <c r="K11" s="4"/>
      <c r="L11" s="4"/>
      <c r="M11" s="4"/>
      <c r="N11" s="4"/>
      <c r="O11" s="4"/>
      <c r="P11" s="4"/>
      <c r="Q11" s="4"/>
      <c r="R11" s="4"/>
      <c r="S11" s="4"/>
      <c r="T11" s="4"/>
      <c r="U11" s="4"/>
      <c r="V11" s="4"/>
      <c r="W11" s="4"/>
      <c r="X11" s="4"/>
    </row>
    <row r="12" spans="1:24" ht="12.75">
      <c r="A12" s="4"/>
      <c r="B12" s="12"/>
      <c r="C12" s="4"/>
      <c r="D12" s="509"/>
      <c r="E12" s="4"/>
      <c r="F12" s="12"/>
      <c r="G12" s="4"/>
      <c r="H12" s="4"/>
      <c r="I12" s="4"/>
      <c r="J12" s="4"/>
      <c r="K12" s="4"/>
      <c r="L12" s="4"/>
      <c r="M12" s="4"/>
      <c r="N12" s="4"/>
      <c r="O12" s="4"/>
      <c r="P12" s="4"/>
      <c r="Q12" s="4"/>
      <c r="R12" s="4"/>
      <c r="S12" s="4"/>
      <c r="T12" s="4"/>
      <c r="U12" s="4"/>
      <c r="V12" s="4"/>
      <c r="W12" s="4"/>
      <c r="X12" s="4"/>
    </row>
    <row r="13" spans="1:24" ht="12.75">
      <c r="A13" s="4"/>
      <c r="B13" s="12"/>
      <c r="C13" s="4"/>
      <c r="D13" s="509"/>
      <c r="E13" s="4"/>
      <c r="F13" s="12"/>
      <c r="G13" s="4"/>
      <c r="H13" s="4"/>
      <c r="I13" s="4"/>
      <c r="J13" s="4"/>
      <c r="K13" s="4"/>
      <c r="L13" s="4"/>
      <c r="M13" s="4"/>
      <c r="N13" s="4"/>
      <c r="O13" s="4"/>
      <c r="P13" s="4"/>
      <c r="Q13" s="4"/>
      <c r="R13" s="4"/>
      <c r="S13" s="4"/>
      <c r="T13" s="4"/>
      <c r="U13" s="4"/>
      <c r="V13" s="4"/>
      <c r="W13" s="4"/>
      <c r="X13" s="4"/>
    </row>
    <row r="14" spans="1:24" ht="12.75">
      <c r="A14" s="4"/>
      <c r="B14" s="12"/>
      <c r="C14" s="4"/>
      <c r="D14" s="509"/>
      <c r="E14" s="4"/>
      <c r="F14" s="12"/>
      <c r="G14" s="4"/>
      <c r="H14" s="4"/>
      <c r="I14" s="4"/>
      <c r="J14" s="4"/>
      <c r="K14" s="4"/>
      <c r="L14" s="4"/>
      <c r="M14" s="4"/>
      <c r="N14" s="4"/>
      <c r="O14" s="4"/>
      <c r="P14" s="4"/>
      <c r="Q14" s="4"/>
      <c r="R14" s="4"/>
      <c r="S14" s="4"/>
      <c r="T14" s="4"/>
      <c r="U14" s="4"/>
      <c r="V14" s="4"/>
      <c r="W14" s="4"/>
      <c r="X14" s="4"/>
    </row>
    <row r="15" spans="1:24" ht="12.75">
      <c r="A15" s="4"/>
      <c r="B15" s="12"/>
      <c r="C15" s="4"/>
      <c r="D15" s="4"/>
      <c r="E15" s="4"/>
      <c r="F15" s="12"/>
      <c r="G15" s="4"/>
      <c r="H15" s="4"/>
      <c r="I15" s="4"/>
      <c r="J15" s="4"/>
      <c r="K15" s="4"/>
      <c r="L15" s="4"/>
      <c r="M15" s="4"/>
      <c r="N15" s="4"/>
      <c r="O15" s="4"/>
      <c r="P15" s="4"/>
      <c r="Q15" s="4"/>
      <c r="R15" s="4"/>
      <c r="S15" s="4"/>
      <c r="T15" s="4"/>
      <c r="U15" s="4"/>
      <c r="V15" s="4"/>
      <c r="W15" s="4"/>
      <c r="X15" s="4"/>
    </row>
    <row r="16" spans="1:24" ht="12.75">
      <c r="A16" s="4"/>
      <c r="B16" s="12"/>
      <c r="C16" s="4"/>
      <c r="D16" s="4"/>
      <c r="E16" s="4"/>
      <c r="F16" s="12"/>
      <c r="G16" s="4"/>
      <c r="H16" s="4"/>
      <c r="I16" s="4"/>
      <c r="J16" s="4"/>
      <c r="K16" s="4"/>
      <c r="L16" s="4"/>
      <c r="M16" s="4"/>
      <c r="N16" s="4"/>
      <c r="O16" s="4"/>
      <c r="P16" s="4"/>
      <c r="Q16" s="4"/>
      <c r="R16" s="4"/>
      <c r="S16" s="4"/>
      <c r="T16" s="4"/>
      <c r="U16" s="4"/>
      <c r="V16" s="4"/>
      <c r="W16" s="4"/>
      <c r="X16" s="4"/>
    </row>
    <row r="17" spans="1:24" ht="12.75">
      <c r="A17" s="4"/>
      <c r="B17" s="12"/>
      <c r="C17" s="4"/>
      <c r="D17" s="4"/>
      <c r="E17" s="4"/>
      <c r="F17" s="12"/>
      <c r="G17" s="4"/>
      <c r="H17" s="4"/>
      <c r="I17" s="4"/>
      <c r="J17" s="4"/>
      <c r="K17" s="4"/>
      <c r="L17" s="4"/>
      <c r="M17" s="4"/>
      <c r="N17" s="4"/>
      <c r="O17" s="4"/>
      <c r="P17" s="4"/>
      <c r="Q17" s="4"/>
      <c r="R17" s="4"/>
      <c r="S17" s="4"/>
      <c r="T17" s="4"/>
      <c r="U17" s="4"/>
      <c r="V17" s="4"/>
      <c r="W17" s="4"/>
      <c r="X17" s="4"/>
    </row>
    <row r="18" spans="1:24" ht="15.75">
      <c r="A18" s="4"/>
      <c r="B18" s="12"/>
      <c r="C18" s="4"/>
      <c r="D18" s="141" t="s">
        <v>222</v>
      </c>
      <c r="E18" s="4"/>
      <c r="F18" s="12"/>
      <c r="G18" s="4"/>
      <c r="H18" s="4"/>
      <c r="I18" s="4"/>
      <c r="J18" s="4"/>
      <c r="K18" s="4"/>
      <c r="L18" s="4"/>
      <c r="M18" s="4"/>
      <c r="N18" s="4"/>
      <c r="O18" s="4"/>
      <c r="P18" s="4"/>
      <c r="Q18" s="4"/>
      <c r="R18" s="4"/>
      <c r="S18" s="4"/>
      <c r="T18" s="4"/>
      <c r="U18" s="4"/>
      <c r="V18" s="4"/>
      <c r="W18" s="4"/>
      <c r="X18" s="4"/>
    </row>
    <row r="19" spans="1:24" ht="12.75">
      <c r="A19" s="4"/>
      <c r="B19" s="12"/>
      <c r="C19" s="4"/>
      <c r="D19" s="109" t="s">
        <v>239</v>
      </c>
      <c r="E19" s="4"/>
      <c r="F19" s="12"/>
      <c r="G19" s="4"/>
      <c r="H19" s="4"/>
      <c r="I19" s="4"/>
      <c r="J19" s="4"/>
      <c r="K19" s="4"/>
      <c r="L19" s="4"/>
      <c r="M19" s="4"/>
      <c r="N19" s="4"/>
      <c r="O19" s="4"/>
      <c r="P19" s="4"/>
      <c r="Q19" s="4"/>
      <c r="R19" s="4"/>
      <c r="S19" s="4"/>
      <c r="T19" s="4"/>
      <c r="U19" s="4"/>
      <c r="V19" s="4"/>
      <c r="W19" s="4"/>
      <c r="X19" s="4"/>
    </row>
    <row r="20" spans="1:24" ht="12.75">
      <c r="A20" s="4"/>
      <c r="B20" s="12"/>
      <c r="C20" s="4"/>
      <c r="D20" s="448" t="s">
        <v>503</v>
      </c>
      <c r="E20" s="4"/>
      <c r="F20" s="12"/>
      <c r="G20" s="4"/>
      <c r="H20" s="4"/>
      <c r="I20" s="4"/>
      <c r="J20" s="4"/>
      <c r="K20" s="4"/>
      <c r="L20" s="4"/>
      <c r="M20" s="4"/>
      <c r="N20" s="4"/>
      <c r="O20" s="4"/>
      <c r="P20" s="4"/>
      <c r="Q20" s="4"/>
      <c r="R20" s="4"/>
      <c r="S20" s="4"/>
      <c r="T20" s="4"/>
      <c r="U20" s="4"/>
      <c r="V20" s="4"/>
      <c r="W20" s="4"/>
      <c r="X20" s="4"/>
    </row>
    <row r="21" spans="1:24" ht="12.75">
      <c r="A21" s="4"/>
      <c r="B21" s="12"/>
      <c r="C21" s="4"/>
      <c r="D21" s="4"/>
      <c r="E21" s="4"/>
      <c r="F21" s="12"/>
      <c r="G21" s="4"/>
      <c r="H21" s="4"/>
      <c r="I21" s="4"/>
      <c r="J21" s="4"/>
      <c r="K21" s="4"/>
      <c r="L21" s="4"/>
      <c r="M21" s="4"/>
      <c r="N21" s="4"/>
      <c r="O21" s="4"/>
      <c r="P21" s="4"/>
      <c r="Q21" s="4"/>
      <c r="R21" s="4"/>
      <c r="S21" s="4"/>
      <c r="T21" s="4"/>
      <c r="U21" s="4"/>
      <c r="V21" s="4"/>
      <c r="W21" s="4"/>
      <c r="X21" s="4"/>
    </row>
    <row r="22" spans="1:24" ht="75">
      <c r="A22" s="4"/>
      <c r="B22" s="12"/>
      <c r="C22" s="4"/>
      <c r="D22" s="392" t="s">
        <v>496</v>
      </c>
      <c r="E22" s="4"/>
      <c r="F22" s="12"/>
      <c r="G22" s="4"/>
      <c r="H22" s="4"/>
      <c r="I22" s="4"/>
      <c r="J22" s="4"/>
      <c r="K22" s="4"/>
      <c r="L22" s="4"/>
      <c r="M22" s="4"/>
      <c r="N22" s="4"/>
      <c r="O22" s="4"/>
      <c r="P22" s="4"/>
      <c r="Q22" s="4"/>
      <c r="R22" s="4"/>
      <c r="S22" s="4"/>
      <c r="T22" s="4"/>
      <c r="U22" s="4"/>
      <c r="V22" s="4"/>
      <c r="W22" s="4"/>
      <c r="X22" s="4"/>
    </row>
    <row r="23" spans="1:24" ht="15">
      <c r="A23" s="4"/>
      <c r="B23" s="12"/>
      <c r="C23" s="4"/>
      <c r="D23" s="393"/>
      <c r="E23" s="4"/>
      <c r="F23" s="12"/>
      <c r="G23" s="4"/>
      <c r="H23" s="4"/>
      <c r="I23" s="4"/>
      <c r="J23" s="4"/>
      <c r="K23" s="4"/>
      <c r="L23" s="4"/>
      <c r="M23" s="4"/>
      <c r="N23" s="4"/>
      <c r="O23" s="4"/>
      <c r="P23" s="4"/>
      <c r="Q23" s="4"/>
      <c r="R23" s="4"/>
      <c r="S23" s="4"/>
      <c r="T23" s="4"/>
      <c r="U23" s="4"/>
      <c r="V23" s="4"/>
      <c r="W23" s="4"/>
      <c r="X23" s="4"/>
    </row>
    <row r="24" spans="1:24" ht="75">
      <c r="A24" s="4"/>
      <c r="B24" s="12"/>
      <c r="C24" s="4"/>
      <c r="D24" s="392" t="s">
        <v>497</v>
      </c>
      <c r="E24" s="4"/>
      <c r="F24" s="12"/>
      <c r="G24" s="4"/>
      <c r="H24" s="4"/>
      <c r="I24" s="4"/>
      <c r="J24" s="4"/>
      <c r="K24" s="4"/>
      <c r="L24" s="4"/>
      <c r="M24" s="4"/>
      <c r="N24" s="4"/>
      <c r="O24" s="4"/>
      <c r="P24" s="4"/>
      <c r="Q24" s="4"/>
      <c r="R24" s="4"/>
      <c r="S24" s="4"/>
      <c r="T24" s="4"/>
      <c r="U24" s="4"/>
      <c r="V24" s="4"/>
      <c r="W24" s="4"/>
      <c r="X24" s="4"/>
    </row>
    <row r="25" spans="1:24" ht="15">
      <c r="A25" s="4"/>
      <c r="B25" s="12"/>
      <c r="C25" s="4"/>
      <c r="D25" s="393"/>
      <c r="E25" s="4"/>
      <c r="F25" s="12"/>
      <c r="G25" s="4"/>
      <c r="H25" s="4"/>
      <c r="I25" s="4"/>
      <c r="J25" s="4"/>
      <c r="K25" s="4"/>
      <c r="L25" s="4"/>
      <c r="M25" s="4"/>
      <c r="N25" s="4"/>
      <c r="O25" s="4"/>
      <c r="P25" s="4"/>
      <c r="Q25" s="4"/>
      <c r="R25" s="4"/>
      <c r="S25" s="4"/>
      <c r="T25" s="4"/>
      <c r="U25" s="4"/>
      <c r="V25" s="4"/>
      <c r="W25" s="4"/>
      <c r="X25" s="4"/>
    </row>
    <row r="26" spans="1:24" ht="90">
      <c r="A26" s="4"/>
      <c r="B26" s="12"/>
      <c r="C26" s="4"/>
      <c r="D26" s="394" t="s">
        <v>498</v>
      </c>
      <c r="E26" s="4"/>
      <c r="F26" s="12"/>
      <c r="G26" s="4"/>
      <c r="H26" s="4"/>
      <c r="I26" s="4"/>
      <c r="J26" s="4"/>
      <c r="K26" s="4"/>
      <c r="L26" s="4"/>
      <c r="M26" s="4"/>
      <c r="N26" s="4"/>
      <c r="O26" s="4"/>
      <c r="P26" s="4"/>
      <c r="Q26" s="4"/>
      <c r="R26" s="4"/>
      <c r="S26" s="4"/>
      <c r="T26" s="4"/>
      <c r="U26" s="4"/>
      <c r="V26" s="4"/>
      <c r="W26" s="4"/>
      <c r="X26" s="4"/>
    </row>
    <row r="27" spans="1:24" ht="12.75">
      <c r="A27" s="4"/>
      <c r="B27" s="12"/>
      <c r="C27" s="4"/>
      <c r="D27" s="95"/>
      <c r="E27" s="4"/>
      <c r="F27" s="12"/>
      <c r="G27" s="4"/>
      <c r="H27" s="4"/>
      <c r="I27" s="4"/>
      <c r="J27" s="4"/>
      <c r="K27" s="4"/>
      <c r="L27" s="4"/>
      <c r="M27" s="4"/>
      <c r="N27" s="4"/>
      <c r="O27" s="4"/>
      <c r="P27" s="4"/>
      <c r="Q27" s="4"/>
      <c r="R27" s="4"/>
      <c r="S27" s="4"/>
      <c r="T27" s="4"/>
      <c r="U27" s="4"/>
      <c r="V27" s="4"/>
      <c r="W27" s="4"/>
      <c r="X27" s="4"/>
    </row>
    <row r="28" spans="1:24" ht="12.75">
      <c r="A28" s="4"/>
      <c r="B28" s="12"/>
      <c r="C28" s="12"/>
      <c r="D28" s="125"/>
      <c r="E28" s="12"/>
      <c r="F28" s="12"/>
      <c r="G28" s="4"/>
      <c r="H28" s="4"/>
      <c r="I28" s="4"/>
      <c r="J28" s="4"/>
      <c r="K28" s="4"/>
      <c r="L28" s="4"/>
      <c r="M28" s="4"/>
      <c r="N28" s="4"/>
      <c r="O28" s="4"/>
      <c r="P28" s="4"/>
      <c r="Q28" s="4"/>
      <c r="R28" s="4"/>
      <c r="S28" s="4"/>
      <c r="T28" s="4"/>
      <c r="U28" s="4"/>
      <c r="V28" s="4"/>
      <c r="W28" s="4"/>
      <c r="X28" s="4"/>
    </row>
    <row r="29" spans="1:24" ht="12.75">
      <c r="A29" s="4"/>
      <c r="B29" s="4"/>
      <c r="C29" s="4"/>
      <c r="D29" s="95"/>
      <c r="E29" s="4"/>
      <c r="F29" s="4"/>
      <c r="G29" s="4"/>
      <c r="H29" s="4"/>
      <c r="I29" s="4"/>
      <c r="J29" s="4"/>
      <c r="K29" s="4"/>
      <c r="L29" s="4"/>
      <c r="M29" s="4"/>
      <c r="N29" s="4"/>
      <c r="O29" s="4"/>
      <c r="P29" s="4"/>
      <c r="Q29" s="4"/>
      <c r="R29" s="4"/>
      <c r="S29" s="4"/>
      <c r="T29" s="4"/>
      <c r="U29" s="4"/>
      <c r="V29" s="4"/>
      <c r="W29" s="4"/>
      <c r="X29" s="4"/>
    </row>
    <row r="30" spans="1:24" ht="12.75">
      <c r="A30" s="4"/>
      <c r="B30" s="4"/>
      <c r="C30" s="4"/>
      <c r="D30" s="8"/>
      <c r="E30" s="4"/>
      <c r="F30" s="4"/>
      <c r="G30" s="4"/>
      <c r="H30" s="4"/>
      <c r="I30" s="4"/>
      <c r="J30" s="4"/>
      <c r="K30" s="4"/>
      <c r="L30" s="4"/>
      <c r="M30" s="4"/>
      <c r="N30" s="4"/>
      <c r="O30" s="4"/>
      <c r="P30" s="4"/>
      <c r="Q30" s="4"/>
      <c r="R30" s="4"/>
      <c r="S30" s="4"/>
      <c r="T30" s="4"/>
      <c r="U30" s="4"/>
      <c r="V30" s="4"/>
      <c r="W30" s="4"/>
      <c r="X30" s="4"/>
    </row>
    <row r="31" spans="1:24" ht="12.75">
      <c r="A31" s="4"/>
      <c r="B31" s="4"/>
      <c r="C31" s="4"/>
      <c r="D31" s="8"/>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row r="34" spans="1:24" ht="12.75">
      <c r="A34" s="4"/>
      <c r="B34" s="4"/>
      <c r="C34" s="4"/>
      <c r="D34" s="4"/>
      <c r="E34" s="4"/>
      <c r="F34" s="4"/>
      <c r="G34" s="4"/>
      <c r="H34" s="4"/>
      <c r="I34" s="4"/>
      <c r="J34" s="4"/>
      <c r="K34" s="4"/>
      <c r="L34" s="4"/>
      <c r="M34" s="4"/>
      <c r="N34" s="4"/>
      <c r="O34" s="4"/>
      <c r="P34" s="4"/>
      <c r="Q34" s="4"/>
      <c r="R34" s="4"/>
      <c r="S34" s="4"/>
      <c r="T34" s="4"/>
      <c r="U34" s="4"/>
      <c r="V34" s="4"/>
      <c r="W34" s="4"/>
      <c r="X34" s="4"/>
    </row>
    <row r="35" spans="1:24" ht="12.75">
      <c r="A35" s="4"/>
      <c r="B35" s="4"/>
      <c r="C35" s="4"/>
      <c r="D35" s="4"/>
      <c r="E35" s="4"/>
      <c r="F35" s="4"/>
      <c r="G35" s="4"/>
      <c r="H35" s="4"/>
      <c r="I35" s="4"/>
      <c r="J35" s="4"/>
      <c r="K35" s="4"/>
      <c r="L35" s="4"/>
      <c r="M35" s="4"/>
      <c r="N35" s="4"/>
      <c r="O35" s="4"/>
      <c r="P35" s="4"/>
      <c r="Q35" s="4"/>
      <c r="R35" s="4"/>
      <c r="S35" s="4"/>
      <c r="T35" s="4"/>
      <c r="U35" s="4"/>
      <c r="V35" s="4"/>
      <c r="W35" s="4"/>
      <c r="X35" s="4"/>
    </row>
    <row r="36" spans="1:24" ht="12.75">
      <c r="A36" s="4"/>
      <c r="B36" s="4"/>
      <c r="C36" s="4"/>
      <c r="D36" s="4"/>
      <c r="E36" s="4"/>
      <c r="F36" s="4"/>
      <c r="G36" s="4"/>
      <c r="H36" s="4"/>
      <c r="I36" s="4"/>
      <c r="J36" s="4"/>
      <c r="K36" s="4"/>
      <c r="L36" s="4"/>
      <c r="M36" s="4"/>
      <c r="N36" s="4"/>
      <c r="O36" s="4"/>
      <c r="P36" s="4"/>
      <c r="Q36" s="4"/>
      <c r="R36" s="4"/>
      <c r="S36" s="4"/>
      <c r="T36" s="4"/>
      <c r="U36" s="4"/>
      <c r="V36" s="4"/>
      <c r="W36" s="4"/>
      <c r="X36" s="4"/>
    </row>
    <row r="37" spans="1:24" ht="12.75">
      <c r="A37" s="4"/>
      <c r="B37" s="4"/>
      <c r="C37" s="4"/>
      <c r="D37" s="4"/>
      <c r="E37" s="4"/>
      <c r="F37" s="4"/>
      <c r="G37" s="4"/>
      <c r="H37" s="4"/>
      <c r="I37" s="4"/>
      <c r="J37" s="4"/>
      <c r="K37" s="4"/>
      <c r="L37" s="4"/>
      <c r="M37" s="4"/>
      <c r="N37" s="4"/>
      <c r="O37" s="4"/>
      <c r="P37" s="4"/>
      <c r="Q37" s="4"/>
      <c r="R37" s="4"/>
      <c r="S37" s="4"/>
      <c r="T37" s="4"/>
      <c r="U37" s="4"/>
      <c r="V37" s="4"/>
      <c r="W37" s="4"/>
      <c r="X37" s="4"/>
    </row>
    <row r="38" spans="1:24" ht="12.75">
      <c r="A38" s="4"/>
      <c r="B38" s="4"/>
      <c r="C38" s="4"/>
      <c r="D38" s="4"/>
      <c r="E38" s="4"/>
      <c r="F38" s="4"/>
      <c r="G38" s="4"/>
      <c r="H38" s="4"/>
      <c r="I38" s="4"/>
      <c r="J38" s="4"/>
      <c r="K38" s="4"/>
      <c r="L38" s="4"/>
      <c r="M38" s="4"/>
      <c r="N38" s="4"/>
      <c r="O38" s="4"/>
      <c r="P38" s="4"/>
      <c r="Q38" s="4"/>
      <c r="R38" s="4"/>
      <c r="S38" s="4"/>
      <c r="T38" s="4"/>
      <c r="U38" s="4"/>
      <c r="V38" s="4"/>
      <c r="W38" s="4"/>
      <c r="X38" s="4"/>
    </row>
    <row r="39" spans="1:24" ht="12.75">
      <c r="A39" s="4"/>
      <c r="B39" s="4"/>
      <c r="C39" s="4"/>
      <c r="D39" s="4"/>
      <c r="E39" s="4"/>
      <c r="F39" s="4"/>
      <c r="G39" s="4"/>
      <c r="H39" s="4"/>
      <c r="I39" s="4"/>
      <c r="J39" s="4"/>
      <c r="K39" s="4"/>
      <c r="L39" s="4"/>
      <c r="M39" s="4"/>
      <c r="N39" s="4"/>
      <c r="O39" s="4"/>
      <c r="P39" s="4"/>
      <c r="Q39" s="4"/>
      <c r="R39" s="4"/>
      <c r="S39" s="4"/>
      <c r="T39" s="4"/>
      <c r="U39" s="4"/>
      <c r="V39" s="4"/>
      <c r="W39" s="4"/>
      <c r="X39" s="4"/>
    </row>
    <row r="40" spans="1:24" ht="12.75">
      <c r="A40" s="4"/>
      <c r="B40" s="4"/>
      <c r="C40" s="4"/>
      <c r="D40" s="4"/>
      <c r="E40" s="4"/>
      <c r="F40" s="4"/>
      <c r="G40" s="4"/>
      <c r="H40" s="4"/>
      <c r="I40" s="4"/>
      <c r="J40" s="4"/>
      <c r="K40" s="4"/>
      <c r="L40" s="4"/>
      <c r="M40" s="4"/>
      <c r="N40" s="4"/>
      <c r="O40" s="4"/>
      <c r="P40" s="4"/>
      <c r="Q40" s="4"/>
      <c r="R40" s="4"/>
      <c r="S40" s="4"/>
      <c r="T40" s="4"/>
      <c r="U40" s="4"/>
      <c r="V40" s="4"/>
      <c r="W40" s="4"/>
      <c r="X40" s="4"/>
    </row>
    <row r="41" spans="1:24" ht="12.75">
      <c r="A41" s="4"/>
      <c r="B41" s="4"/>
      <c r="C41" s="4"/>
      <c r="D41" s="4"/>
      <c r="E41" s="4"/>
      <c r="F41" s="4"/>
      <c r="G41" s="4"/>
      <c r="H41" s="4"/>
      <c r="I41" s="4"/>
      <c r="J41" s="4"/>
      <c r="K41" s="4"/>
      <c r="L41" s="4"/>
      <c r="M41" s="4"/>
      <c r="N41" s="4"/>
      <c r="O41" s="4"/>
      <c r="P41" s="4"/>
      <c r="Q41" s="4"/>
      <c r="R41" s="4"/>
      <c r="S41" s="4"/>
      <c r="T41" s="4"/>
      <c r="U41" s="4"/>
      <c r="V41" s="4"/>
      <c r="W41" s="4"/>
      <c r="X41" s="4"/>
    </row>
    <row r="42" spans="1:24" ht="12.75">
      <c r="A42" s="4"/>
      <c r="B42" s="4"/>
      <c r="C42" s="4"/>
      <c r="D42" s="4"/>
      <c r="E42" s="4"/>
      <c r="F42" s="4"/>
      <c r="G42" s="4"/>
      <c r="H42" s="4"/>
      <c r="I42" s="4"/>
      <c r="J42" s="4"/>
      <c r="K42" s="4"/>
      <c r="L42" s="4"/>
      <c r="M42" s="4"/>
      <c r="N42" s="4"/>
      <c r="O42" s="4"/>
      <c r="P42" s="4"/>
      <c r="Q42" s="4"/>
      <c r="R42" s="4"/>
      <c r="S42" s="4"/>
      <c r="T42" s="4"/>
      <c r="U42" s="4"/>
      <c r="V42" s="4"/>
      <c r="W42" s="4"/>
      <c r="X42" s="4"/>
    </row>
    <row r="43" spans="1:24" ht="12.75">
      <c r="A43" s="4"/>
      <c r="B43" s="4"/>
      <c r="C43" s="4"/>
      <c r="D43" s="4"/>
      <c r="E43" s="4"/>
      <c r="F43" s="4"/>
      <c r="G43" s="4"/>
      <c r="H43" s="4"/>
      <c r="I43" s="4"/>
      <c r="J43" s="4"/>
      <c r="K43" s="4"/>
      <c r="L43" s="4"/>
      <c r="M43" s="4"/>
      <c r="N43" s="4"/>
      <c r="O43" s="4"/>
      <c r="P43" s="4"/>
      <c r="Q43" s="4"/>
      <c r="R43" s="4"/>
      <c r="S43" s="4"/>
      <c r="T43" s="4"/>
      <c r="U43" s="4"/>
      <c r="V43" s="4"/>
      <c r="W43" s="4"/>
      <c r="X43" s="4"/>
    </row>
    <row r="44" spans="1:24" ht="12.75">
      <c r="A44" s="4"/>
      <c r="B44" s="4"/>
      <c r="C44" s="4"/>
      <c r="D44" s="4"/>
      <c r="E44" s="4"/>
      <c r="F44" s="4"/>
      <c r="G44" s="4"/>
      <c r="H44" s="4"/>
      <c r="I44" s="4"/>
      <c r="J44" s="4"/>
      <c r="K44" s="4"/>
      <c r="L44" s="4"/>
      <c r="M44" s="4"/>
      <c r="N44" s="4"/>
      <c r="O44" s="4"/>
      <c r="P44" s="4"/>
      <c r="Q44" s="4"/>
      <c r="R44" s="4"/>
      <c r="S44" s="4"/>
      <c r="T44" s="4"/>
      <c r="U44" s="4"/>
      <c r="V44" s="4"/>
      <c r="W44" s="4"/>
      <c r="X44" s="4"/>
    </row>
    <row r="45" spans="1:24" ht="12.75">
      <c r="A45" s="4"/>
      <c r="B45" s="4"/>
      <c r="C45" s="4"/>
      <c r="D45" s="4"/>
      <c r="E45" s="4"/>
      <c r="F45" s="4"/>
      <c r="G45" s="4"/>
      <c r="H45" s="4"/>
      <c r="I45" s="4"/>
      <c r="J45" s="4"/>
      <c r="K45" s="4"/>
      <c r="L45" s="4"/>
      <c r="M45" s="4"/>
      <c r="N45" s="4"/>
      <c r="O45" s="4"/>
      <c r="P45" s="4"/>
      <c r="Q45" s="4"/>
      <c r="R45" s="4"/>
      <c r="S45" s="4"/>
      <c r="T45" s="4"/>
      <c r="U45" s="4"/>
      <c r="V45" s="4"/>
      <c r="W45" s="4"/>
      <c r="X45" s="4"/>
    </row>
    <row r="46" spans="1:24" ht="12.75">
      <c r="A46" s="4"/>
      <c r="B46" s="4"/>
      <c r="C46" s="4"/>
      <c r="D46" s="4"/>
      <c r="E46" s="4"/>
      <c r="F46" s="4"/>
      <c r="G46" s="4"/>
      <c r="H46" s="4"/>
      <c r="I46" s="4"/>
      <c r="J46" s="4"/>
      <c r="K46" s="4"/>
      <c r="L46" s="4"/>
      <c r="M46" s="4"/>
      <c r="N46" s="4"/>
      <c r="O46" s="4"/>
      <c r="P46" s="4"/>
      <c r="Q46" s="4"/>
      <c r="R46" s="4"/>
      <c r="S46" s="4"/>
      <c r="T46" s="4"/>
      <c r="U46" s="4"/>
      <c r="V46" s="4"/>
      <c r="W46" s="4"/>
      <c r="X46" s="4"/>
    </row>
    <row r="47" spans="1:24" ht="12.75">
      <c r="A47" s="4"/>
      <c r="B47" s="4"/>
      <c r="C47" s="4"/>
      <c r="D47" s="4"/>
      <c r="E47" s="4"/>
      <c r="F47" s="4"/>
      <c r="G47" s="4"/>
      <c r="H47" s="4"/>
      <c r="I47" s="4"/>
      <c r="J47" s="4"/>
      <c r="K47" s="4"/>
      <c r="L47" s="4"/>
      <c r="M47" s="4"/>
      <c r="N47" s="4"/>
      <c r="O47" s="4"/>
      <c r="P47" s="4"/>
      <c r="Q47" s="4"/>
      <c r="R47" s="4"/>
      <c r="S47" s="4"/>
      <c r="T47" s="4"/>
      <c r="U47" s="4"/>
      <c r="V47" s="4"/>
      <c r="W47" s="4"/>
      <c r="X47" s="4"/>
    </row>
    <row r="48" spans="1:24" ht="12.75">
      <c r="A48" s="4"/>
      <c r="B48" s="4"/>
      <c r="C48" s="4"/>
      <c r="D48" s="4"/>
      <c r="E48" s="4"/>
      <c r="F48" s="4"/>
      <c r="G48" s="4"/>
      <c r="H48" s="4"/>
      <c r="I48" s="4"/>
      <c r="J48" s="4"/>
      <c r="K48" s="4"/>
      <c r="L48" s="4"/>
      <c r="M48" s="4"/>
      <c r="N48" s="4"/>
      <c r="O48" s="4"/>
      <c r="P48" s="4"/>
      <c r="Q48" s="4"/>
      <c r="R48" s="4"/>
      <c r="S48" s="4"/>
      <c r="T48" s="4"/>
      <c r="U48" s="4"/>
      <c r="V48" s="4"/>
      <c r="W48" s="4"/>
      <c r="X48" s="4"/>
    </row>
    <row r="49" spans="1:24" ht="12.75">
      <c r="A49" s="4"/>
      <c r="B49" s="4"/>
      <c r="C49" s="4"/>
      <c r="D49" s="4"/>
      <c r="E49" s="4"/>
      <c r="F49" s="4"/>
      <c r="G49" s="4"/>
      <c r="H49" s="4"/>
      <c r="I49" s="4"/>
      <c r="J49" s="4"/>
      <c r="K49" s="4"/>
      <c r="L49" s="4"/>
      <c r="M49" s="4"/>
      <c r="N49" s="4"/>
      <c r="O49" s="4"/>
      <c r="P49" s="4"/>
      <c r="Q49" s="4"/>
      <c r="R49" s="4"/>
      <c r="S49" s="4"/>
      <c r="T49" s="4"/>
      <c r="U49" s="4"/>
      <c r="V49" s="4"/>
      <c r="W49" s="4"/>
      <c r="X49" s="4"/>
    </row>
    <row r="50" spans="1:24" ht="12.75">
      <c r="A50" s="4"/>
      <c r="B50" s="4"/>
      <c r="C50" s="4"/>
      <c r="D50" s="4"/>
      <c r="E50" s="4"/>
      <c r="F50" s="4"/>
      <c r="G50" s="4"/>
      <c r="H50" s="4"/>
      <c r="I50" s="4"/>
      <c r="J50" s="4"/>
      <c r="K50" s="4"/>
      <c r="L50" s="4"/>
      <c r="M50" s="4"/>
      <c r="N50" s="4"/>
      <c r="O50" s="4"/>
      <c r="P50" s="4"/>
      <c r="Q50" s="4"/>
      <c r="R50" s="4"/>
      <c r="S50" s="4"/>
      <c r="T50" s="4"/>
      <c r="U50" s="4"/>
      <c r="V50" s="4"/>
      <c r="W50" s="4"/>
      <c r="X50" s="4"/>
    </row>
    <row r="51" spans="1:24" ht="12.75">
      <c r="A51" s="4"/>
      <c r="B51" s="4"/>
      <c r="C51" s="4"/>
      <c r="D51" s="4"/>
      <c r="E51" s="4"/>
      <c r="F51" s="4"/>
      <c r="G51" s="4"/>
      <c r="H51" s="4"/>
      <c r="I51" s="4"/>
      <c r="J51" s="4"/>
      <c r="K51" s="4"/>
      <c r="L51" s="4"/>
      <c r="M51" s="4"/>
      <c r="N51" s="4"/>
      <c r="O51" s="4"/>
      <c r="P51" s="4"/>
      <c r="Q51" s="4"/>
      <c r="R51" s="4"/>
      <c r="S51" s="4"/>
      <c r="T51" s="4"/>
      <c r="U51" s="4"/>
      <c r="V51" s="4"/>
      <c r="W51" s="4"/>
      <c r="X51" s="4"/>
    </row>
    <row r="52" spans="1:24" ht="12.75">
      <c r="A52" s="4"/>
      <c r="B52" s="4"/>
      <c r="C52" s="4"/>
      <c r="D52" s="4"/>
      <c r="E52" s="4"/>
      <c r="F52" s="4"/>
      <c r="G52" s="4"/>
      <c r="H52" s="4"/>
      <c r="I52" s="4"/>
      <c r="J52" s="4"/>
      <c r="K52" s="4"/>
      <c r="L52" s="4"/>
      <c r="M52" s="4"/>
      <c r="N52" s="4"/>
      <c r="O52" s="4"/>
      <c r="P52" s="4"/>
      <c r="Q52" s="4"/>
      <c r="R52" s="4"/>
      <c r="S52" s="4"/>
      <c r="T52" s="4"/>
      <c r="U52" s="4"/>
      <c r="V52" s="4"/>
      <c r="W52" s="4"/>
      <c r="X52" s="4"/>
    </row>
    <row r="53" spans="1:24" ht="12.75">
      <c r="A53" s="4"/>
      <c r="B53" s="4"/>
      <c r="C53" s="4"/>
      <c r="D53" s="4"/>
      <c r="E53" s="4"/>
      <c r="F53" s="4"/>
      <c r="G53" s="4"/>
      <c r="H53" s="4"/>
      <c r="I53" s="4"/>
      <c r="J53" s="4"/>
      <c r="K53" s="4"/>
      <c r="L53" s="4"/>
      <c r="M53" s="4"/>
      <c r="N53" s="4"/>
      <c r="O53" s="4"/>
      <c r="P53" s="4"/>
      <c r="Q53" s="4"/>
      <c r="R53" s="4"/>
      <c r="S53" s="4"/>
      <c r="T53" s="4"/>
      <c r="U53" s="4"/>
      <c r="V53" s="4"/>
      <c r="W53" s="4"/>
      <c r="X53" s="4"/>
    </row>
    <row r="54" spans="1:24" ht="12.75">
      <c r="A54" s="4"/>
      <c r="B54" s="4"/>
      <c r="C54" s="4"/>
      <c r="D54" s="4"/>
      <c r="E54" s="4"/>
      <c r="F54" s="4"/>
      <c r="G54" s="4"/>
      <c r="H54" s="4"/>
      <c r="I54" s="4"/>
      <c r="J54" s="4"/>
      <c r="K54" s="4"/>
      <c r="L54" s="4"/>
      <c r="M54" s="4"/>
      <c r="N54" s="4"/>
      <c r="O54" s="4"/>
      <c r="P54" s="4"/>
      <c r="Q54" s="4"/>
      <c r="R54" s="4"/>
      <c r="S54" s="4"/>
      <c r="T54" s="4"/>
      <c r="U54" s="4"/>
      <c r="V54" s="4"/>
      <c r="W54" s="4"/>
      <c r="X54" s="4"/>
    </row>
    <row r="55" spans="1:24" ht="12.75">
      <c r="A55" s="4"/>
      <c r="B55" s="4"/>
      <c r="C55" s="4"/>
      <c r="D55" s="4"/>
      <c r="E55" s="4"/>
      <c r="F55" s="4"/>
      <c r="G55" s="4"/>
      <c r="H55" s="4"/>
      <c r="I55" s="4"/>
      <c r="J55" s="4"/>
      <c r="K55" s="4"/>
      <c r="L55" s="4"/>
      <c r="M55" s="4"/>
      <c r="N55" s="4"/>
      <c r="O55" s="4"/>
      <c r="P55" s="4"/>
      <c r="Q55" s="4"/>
      <c r="R55" s="4"/>
      <c r="S55" s="4"/>
      <c r="T55" s="4"/>
      <c r="U55" s="4"/>
      <c r="V55" s="4"/>
      <c r="W55" s="4"/>
      <c r="X55" s="4"/>
    </row>
    <row r="56" spans="1:24" ht="12.75">
      <c r="A56" s="4"/>
      <c r="B56" s="4"/>
      <c r="C56" s="4"/>
      <c r="D56" s="4"/>
      <c r="E56" s="4"/>
      <c r="F56" s="4"/>
      <c r="G56" s="4"/>
      <c r="H56" s="4"/>
      <c r="I56" s="4"/>
      <c r="J56" s="4"/>
      <c r="K56" s="4"/>
      <c r="L56" s="4"/>
      <c r="M56" s="4"/>
      <c r="N56" s="4"/>
      <c r="O56" s="4"/>
      <c r="P56" s="4"/>
      <c r="Q56" s="4"/>
      <c r="R56" s="4"/>
      <c r="S56" s="4"/>
      <c r="T56" s="4"/>
      <c r="U56" s="4"/>
      <c r="V56" s="4"/>
      <c r="W56" s="4"/>
      <c r="X56" s="4"/>
    </row>
    <row r="57" spans="1:24" ht="12.75">
      <c r="A57" s="4"/>
      <c r="B57" s="4"/>
      <c r="C57" s="4"/>
      <c r="D57" s="4"/>
      <c r="E57" s="4"/>
      <c r="F57" s="4"/>
      <c r="G57" s="4"/>
      <c r="H57" s="4"/>
      <c r="I57" s="4"/>
      <c r="J57" s="4"/>
      <c r="K57" s="4"/>
      <c r="L57" s="4"/>
      <c r="M57" s="4"/>
      <c r="N57" s="4"/>
      <c r="O57" s="4"/>
      <c r="P57" s="4"/>
      <c r="Q57" s="4"/>
      <c r="R57" s="4"/>
      <c r="S57" s="4"/>
      <c r="T57" s="4"/>
      <c r="U57" s="4"/>
      <c r="V57" s="4"/>
      <c r="W57" s="4"/>
      <c r="X57" s="4"/>
    </row>
    <row r="58" spans="1:24" ht="12.75">
      <c r="A58" s="4"/>
      <c r="B58" s="4"/>
      <c r="C58" s="4"/>
      <c r="D58" s="4"/>
      <c r="E58" s="4"/>
      <c r="F58" s="4"/>
      <c r="G58" s="4"/>
      <c r="H58" s="4"/>
      <c r="I58" s="4"/>
      <c r="J58" s="4"/>
      <c r="K58" s="4"/>
      <c r="L58" s="4"/>
      <c r="M58" s="4"/>
      <c r="N58" s="4"/>
      <c r="O58" s="4"/>
      <c r="P58" s="4"/>
      <c r="Q58" s="4"/>
      <c r="R58" s="4"/>
      <c r="S58" s="4"/>
      <c r="T58" s="4"/>
      <c r="U58" s="4"/>
      <c r="V58" s="4"/>
      <c r="W58" s="4"/>
      <c r="X58" s="4"/>
    </row>
    <row r="59" spans="1:24" ht="12.75">
      <c r="A59" s="4"/>
      <c r="B59" s="4"/>
      <c r="C59" s="4"/>
      <c r="D59" s="4"/>
      <c r="E59" s="4"/>
      <c r="F59" s="4"/>
      <c r="G59" s="4"/>
      <c r="H59" s="4"/>
      <c r="I59" s="4"/>
      <c r="J59" s="4"/>
      <c r="K59" s="4"/>
      <c r="L59" s="4"/>
      <c r="M59" s="4"/>
      <c r="N59" s="4"/>
      <c r="O59" s="4"/>
      <c r="P59" s="4"/>
      <c r="Q59" s="4"/>
      <c r="R59" s="4"/>
      <c r="S59" s="4"/>
      <c r="T59" s="4"/>
      <c r="U59" s="4"/>
      <c r="V59" s="4"/>
      <c r="W59" s="4"/>
      <c r="X59" s="4"/>
    </row>
    <row r="60" spans="1:24" ht="12.75">
      <c r="A60" s="4"/>
      <c r="B60" s="4"/>
      <c r="C60" s="4"/>
      <c r="D60" s="4"/>
      <c r="E60" s="4"/>
      <c r="F60" s="4"/>
      <c r="G60" s="4"/>
      <c r="H60" s="4"/>
      <c r="I60" s="4"/>
      <c r="J60" s="4"/>
      <c r="K60" s="4"/>
      <c r="L60" s="4"/>
      <c r="M60" s="4"/>
      <c r="N60" s="4"/>
      <c r="O60" s="4"/>
      <c r="P60" s="4"/>
      <c r="Q60" s="4"/>
      <c r="R60" s="4"/>
      <c r="S60" s="4"/>
      <c r="T60" s="4"/>
      <c r="U60" s="4"/>
      <c r="V60" s="4"/>
      <c r="W60" s="4"/>
      <c r="X60" s="4"/>
    </row>
    <row r="61" spans="1:24" ht="12.75">
      <c r="A61" s="4"/>
      <c r="B61" s="4"/>
      <c r="C61" s="4"/>
      <c r="D61" s="4"/>
      <c r="E61" s="4"/>
      <c r="F61" s="4"/>
      <c r="G61" s="4"/>
      <c r="H61" s="4"/>
      <c r="I61" s="4"/>
      <c r="J61" s="4"/>
      <c r="K61" s="4"/>
      <c r="L61" s="4"/>
      <c r="M61" s="4"/>
      <c r="N61" s="4"/>
      <c r="O61" s="4"/>
      <c r="P61" s="4"/>
      <c r="Q61" s="4"/>
      <c r="R61" s="4"/>
      <c r="S61" s="4"/>
      <c r="T61" s="4"/>
      <c r="U61" s="4"/>
      <c r="V61" s="4"/>
      <c r="W61" s="4"/>
      <c r="X61" s="4"/>
    </row>
    <row r="62" spans="1:24" ht="12.75">
      <c r="A62" s="4"/>
      <c r="B62" s="4"/>
      <c r="C62" s="4"/>
      <c r="D62" s="4"/>
      <c r="E62" s="4"/>
      <c r="F62" s="4"/>
      <c r="G62" s="4"/>
      <c r="H62" s="4"/>
      <c r="I62" s="4"/>
      <c r="J62" s="4"/>
      <c r="K62" s="4"/>
      <c r="L62" s="4"/>
      <c r="M62" s="4"/>
      <c r="N62" s="4"/>
      <c r="O62" s="4"/>
      <c r="P62" s="4"/>
      <c r="Q62" s="4"/>
      <c r="R62" s="4"/>
      <c r="S62" s="4"/>
      <c r="T62" s="4"/>
      <c r="U62" s="4"/>
      <c r="V62" s="4"/>
      <c r="W62" s="4"/>
      <c r="X62" s="4"/>
    </row>
    <row r="63" spans="1:24" ht="12.75">
      <c r="A63" s="4"/>
      <c r="B63" s="4"/>
      <c r="C63" s="4"/>
      <c r="D63" s="4"/>
      <c r="E63" s="4"/>
      <c r="F63" s="4"/>
      <c r="G63" s="4"/>
      <c r="H63" s="4"/>
      <c r="I63" s="4"/>
      <c r="J63" s="4"/>
      <c r="K63" s="4"/>
      <c r="L63" s="4"/>
      <c r="M63" s="4"/>
      <c r="N63" s="4"/>
      <c r="O63" s="4"/>
      <c r="P63" s="4"/>
      <c r="Q63" s="4"/>
      <c r="R63" s="4"/>
      <c r="S63" s="4"/>
      <c r="T63" s="4"/>
      <c r="U63" s="4"/>
      <c r="V63" s="4"/>
      <c r="W63" s="4"/>
      <c r="X63" s="4"/>
    </row>
    <row r="64" spans="1:24" ht="12.75">
      <c r="A64" s="4"/>
      <c r="B64" s="4"/>
      <c r="C64" s="4"/>
      <c r="D64" s="4"/>
      <c r="E64" s="4"/>
      <c r="F64" s="4"/>
      <c r="G64" s="4"/>
      <c r="H64" s="4"/>
      <c r="I64" s="4"/>
      <c r="J64" s="4"/>
      <c r="K64" s="4"/>
      <c r="L64" s="4"/>
      <c r="M64" s="4"/>
      <c r="N64" s="4"/>
      <c r="O64" s="4"/>
      <c r="P64" s="4"/>
      <c r="Q64" s="4"/>
      <c r="R64" s="4"/>
      <c r="S64" s="4"/>
      <c r="T64" s="4"/>
      <c r="U64" s="4"/>
      <c r="V64" s="4"/>
      <c r="W64" s="4"/>
      <c r="X64" s="4"/>
    </row>
    <row r="65" spans="1:24" ht="12.75">
      <c r="A65" s="4"/>
      <c r="B65" s="4"/>
      <c r="C65" s="4"/>
      <c r="D65" s="4"/>
      <c r="E65" s="4"/>
      <c r="F65" s="4"/>
      <c r="G65" s="4"/>
      <c r="H65" s="4"/>
      <c r="I65" s="4"/>
      <c r="J65" s="4"/>
      <c r="K65" s="4"/>
      <c r="L65" s="4"/>
      <c r="M65" s="4"/>
      <c r="N65" s="4"/>
      <c r="O65" s="4"/>
      <c r="P65" s="4"/>
      <c r="Q65" s="4"/>
      <c r="R65" s="4"/>
      <c r="S65" s="4"/>
      <c r="T65" s="4"/>
      <c r="U65" s="4"/>
      <c r="V65" s="4"/>
      <c r="W65" s="4"/>
      <c r="X65" s="4"/>
    </row>
    <row r="66" spans="1:24" ht="12.75">
      <c r="A66" s="4"/>
      <c r="B66" s="4"/>
      <c r="C66" s="4"/>
      <c r="D66" s="4"/>
      <c r="E66" s="4"/>
      <c r="F66" s="4"/>
      <c r="G66" s="4"/>
      <c r="H66" s="4"/>
      <c r="I66" s="4"/>
      <c r="J66" s="4"/>
      <c r="K66" s="4"/>
      <c r="L66" s="4"/>
      <c r="M66" s="4"/>
      <c r="N66" s="4"/>
      <c r="O66" s="4"/>
      <c r="P66" s="4"/>
      <c r="Q66" s="4"/>
      <c r="R66" s="4"/>
      <c r="S66" s="4"/>
      <c r="T66" s="4"/>
      <c r="U66" s="4"/>
      <c r="V66" s="4"/>
      <c r="W66" s="4"/>
      <c r="X66" s="4"/>
    </row>
    <row r="67" spans="1:24" ht="12.75">
      <c r="A67" s="4"/>
      <c r="B67" s="4"/>
      <c r="C67" s="4"/>
      <c r="D67" s="4"/>
      <c r="E67" s="4"/>
      <c r="F67" s="4"/>
      <c r="G67" s="4"/>
      <c r="H67" s="4"/>
      <c r="I67" s="4"/>
      <c r="J67" s="4"/>
      <c r="K67" s="4"/>
      <c r="L67" s="4"/>
      <c r="M67" s="4"/>
      <c r="N67" s="4"/>
      <c r="O67" s="4"/>
      <c r="P67" s="4"/>
      <c r="Q67" s="4"/>
      <c r="R67" s="4"/>
      <c r="S67" s="4"/>
      <c r="T67" s="4"/>
      <c r="U67" s="4"/>
      <c r="V67" s="4"/>
      <c r="W67" s="4"/>
      <c r="X67" s="4"/>
    </row>
    <row r="68" spans="1:24" ht="12.75">
      <c r="A68" s="4"/>
      <c r="B68" s="4"/>
      <c r="C68" s="4"/>
      <c r="D68" s="4"/>
      <c r="E68" s="4"/>
      <c r="F68" s="4"/>
      <c r="G68" s="4"/>
      <c r="H68" s="4"/>
      <c r="I68" s="4"/>
      <c r="J68" s="4"/>
      <c r="K68" s="4"/>
      <c r="L68" s="4"/>
      <c r="M68" s="4"/>
      <c r="N68" s="4"/>
      <c r="O68" s="4"/>
      <c r="P68" s="4"/>
      <c r="Q68" s="4"/>
      <c r="R68" s="4"/>
      <c r="S68" s="4"/>
      <c r="T68" s="4"/>
      <c r="U68" s="4"/>
      <c r="V68" s="4"/>
      <c r="W68" s="4"/>
      <c r="X68" s="4"/>
    </row>
    <row r="69" spans="1:24" ht="12.75">
      <c r="A69" s="4"/>
      <c r="B69" s="4"/>
      <c r="C69" s="4"/>
      <c r="D69" s="4"/>
      <c r="E69" s="4"/>
      <c r="F69" s="4"/>
      <c r="G69" s="4"/>
      <c r="H69" s="4"/>
      <c r="I69" s="4"/>
      <c r="J69" s="4"/>
      <c r="K69" s="4"/>
      <c r="L69" s="4"/>
      <c r="M69" s="4"/>
      <c r="N69" s="4"/>
      <c r="O69" s="4"/>
      <c r="P69" s="4"/>
      <c r="Q69" s="4"/>
      <c r="R69" s="4"/>
      <c r="S69" s="4"/>
      <c r="T69" s="4"/>
      <c r="U69" s="4"/>
      <c r="V69" s="4"/>
      <c r="W69" s="4"/>
      <c r="X69" s="4"/>
    </row>
    <row r="70" spans="1:24" ht="12.75">
      <c r="A70" s="4"/>
      <c r="B70" s="4"/>
      <c r="C70" s="4"/>
      <c r="D70" s="4"/>
      <c r="E70" s="4"/>
      <c r="F70" s="4"/>
      <c r="G70" s="4"/>
      <c r="H70" s="4"/>
      <c r="I70" s="4"/>
      <c r="J70" s="4"/>
      <c r="K70" s="4"/>
      <c r="L70" s="4"/>
      <c r="M70" s="4"/>
      <c r="N70" s="4"/>
      <c r="O70" s="4"/>
      <c r="P70" s="4"/>
      <c r="Q70" s="4"/>
      <c r="R70" s="4"/>
      <c r="S70" s="4"/>
      <c r="T70" s="4"/>
      <c r="U70" s="4"/>
      <c r="V70" s="4"/>
      <c r="W70" s="4"/>
      <c r="X70" s="4"/>
    </row>
    <row r="71" spans="1:24" ht="12.75">
      <c r="A71" s="4"/>
      <c r="B71" s="4"/>
      <c r="C71" s="4"/>
      <c r="D71" s="4"/>
      <c r="E71" s="4"/>
      <c r="F71" s="4"/>
      <c r="G71" s="4"/>
      <c r="H71" s="4"/>
      <c r="I71" s="4"/>
      <c r="J71" s="4"/>
      <c r="K71" s="4"/>
      <c r="L71" s="4"/>
      <c r="M71" s="4"/>
      <c r="N71" s="4"/>
      <c r="O71" s="4"/>
      <c r="P71" s="4"/>
      <c r="Q71" s="4"/>
      <c r="R71" s="4"/>
      <c r="S71" s="4"/>
      <c r="T71" s="4"/>
      <c r="U71" s="4"/>
      <c r="V71" s="4"/>
      <c r="W71" s="4"/>
      <c r="X71" s="4"/>
    </row>
    <row r="72" spans="1:24" ht="12.75">
      <c r="A72" s="4"/>
      <c r="B72" s="4"/>
      <c r="C72" s="4"/>
      <c r="D72" s="4"/>
      <c r="E72" s="4"/>
      <c r="F72" s="4"/>
      <c r="G72" s="4"/>
      <c r="H72" s="4"/>
      <c r="I72" s="4"/>
      <c r="J72" s="4"/>
      <c r="K72" s="4"/>
      <c r="L72" s="4"/>
      <c r="M72" s="4"/>
      <c r="N72" s="4"/>
      <c r="O72" s="4"/>
      <c r="P72" s="4"/>
      <c r="Q72" s="4"/>
      <c r="R72" s="4"/>
      <c r="S72" s="4"/>
      <c r="T72" s="4"/>
      <c r="U72" s="4"/>
      <c r="V72" s="4"/>
      <c r="W72" s="4"/>
      <c r="X72" s="4"/>
    </row>
    <row r="73" spans="1:24" ht="12.75">
      <c r="A73" s="4"/>
      <c r="B73" s="4"/>
      <c r="C73" s="4"/>
      <c r="D73" s="4"/>
      <c r="E73" s="4"/>
      <c r="F73" s="4"/>
      <c r="G73" s="4"/>
      <c r="H73" s="4"/>
      <c r="I73" s="4"/>
      <c r="J73" s="4"/>
      <c r="K73" s="4"/>
      <c r="L73" s="4"/>
      <c r="M73" s="4"/>
      <c r="N73" s="4"/>
      <c r="O73" s="4"/>
      <c r="P73" s="4"/>
      <c r="Q73" s="4"/>
      <c r="R73" s="4"/>
      <c r="S73" s="4"/>
      <c r="T73" s="4"/>
      <c r="U73" s="4"/>
      <c r="V73" s="4"/>
      <c r="W73" s="4"/>
      <c r="X73" s="4"/>
    </row>
    <row r="74" spans="1:24" ht="12.75">
      <c r="A74" s="4"/>
      <c r="B74" s="4"/>
      <c r="C74" s="4"/>
      <c r="D74" s="4"/>
      <c r="E74" s="4"/>
      <c r="F74" s="4"/>
      <c r="G74" s="4"/>
      <c r="H74" s="4"/>
      <c r="I74" s="4"/>
      <c r="J74" s="4"/>
      <c r="K74" s="4"/>
      <c r="L74" s="4"/>
      <c r="M74" s="4"/>
      <c r="N74" s="4"/>
      <c r="O74" s="4"/>
      <c r="P74" s="4"/>
      <c r="Q74" s="4"/>
      <c r="R74" s="4"/>
      <c r="S74" s="4"/>
      <c r="T74" s="4"/>
      <c r="U74" s="4"/>
      <c r="V74" s="4"/>
      <c r="W74" s="4"/>
      <c r="X74" s="4"/>
    </row>
    <row r="75" spans="1:24" ht="12.75">
      <c r="A75" s="4"/>
      <c r="B75" s="4"/>
      <c r="C75" s="4"/>
      <c r="D75" s="4"/>
      <c r="E75" s="4"/>
      <c r="F75" s="4"/>
      <c r="G75" s="4"/>
      <c r="H75" s="4"/>
      <c r="I75" s="4"/>
      <c r="J75" s="4"/>
      <c r="K75" s="4"/>
      <c r="L75" s="4"/>
      <c r="M75" s="4"/>
      <c r="N75" s="4"/>
      <c r="O75" s="4"/>
      <c r="P75" s="4"/>
      <c r="Q75" s="4"/>
      <c r="R75" s="4"/>
      <c r="S75" s="4"/>
      <c r="T75" s="4"/>
      <c r="U75" s="4"/>
      <c r="V75" s="4"/>
      <c r="W75" s="4"/>
      <c r="X75" s="4"/>
    </row>
    <row r="76" spans="1:24" ht="12.75">
      <c r="A76" s="4"/>
      <c r="B76" s="4"/>
      <c r="C76" s="4"/>
      <c r="D76" s="4"/>
      <c r="E76" s="4"/>
      <c r="F76" s="4"/>
      <c r="G76" s="4"/>
      <c r="H76" s="4"/>
      <c r="I76" s="4"/>
      <c r="J76" s="4"/>
      <c r="K76" s="4"/>
      <c r="L76" s="4"/>
      <c r="M76" s="4"/>
      <c r="N76" s="4"/>
      <c r="O76" s="4"/>
      <c r="P76" s="4"/>
      <c r="Q76" s="4"/>
      <c r="R76" s="4"/>
      <c r="S76" s="4"/>
      <c r="T76" s="4"/>
      <c r="U76" s="4"/>
      <c r="V76" s="4"/>
      <c r="W76" s="4"/>
      <c r="X76" s="4"/>
    </row>
    <row r="77" spans="1:24" ht="12.75">
      <c r="A77" s="4"/>
      <c r="B77" s="4"/>
      <c r="C77" s="4"/>
      <c r="D77" s="4"/>
      <c r="E77" s="4"/>
      <c r="F77" s="4"/>
      <c r="G77" s="4"/>
      <c r="H77" s="4"/>
      <c r="I77" s="4"/>
      <c r="J77" s="4"/>
      <c r="K77" s="4"/>
      <c r="L77" s="4"/>
      <c r="M77" s="4"/>
      <c r="N77" s="4"/>
      <c r="O77" s="4"/>
      <c r="P77" s="4"/>
      <c r="Q77" s="4"/>
      <c r="R77" s="4"/>
      <c r="S77" s="4"/>
      <c r="T77" s="4"/>
      <c r="U77" s="4"/>
      <c r="V77" s="4"/>
      <c r="W77" s="4"/>
      <c r="X77" s="4"/>
    </row>
    <row r="78" spans="1:24" ht="12.75">
      <c r="A78" s="4"/>
      <c r="B78" s="4"/>
      <c r="C78" s="4"/>
      <c r="D78" s="4"/>
      <c r="E78" s="4"/>
      <c r="F78" s="4"/>
      <c r="G78" s="4"/>
      <c r="H78" s="4"/>
      <c r="I78" s="4"/>
      <c r="J78" s="4"/>
      <c r="K78" s="4"/>
      <c r="L78" s="4"/>
      <c r="M78" s="4"/>
      <c r="N78" s="4"/>
      <c r="O78" s="4"/>
      <c r="P78" s="4"/>
      <c r="Q78" s="4"/>
      <c r="R78" s="4"/>
      <c r="S78" s="4"/>
      <c r="T78" s="4"/>
      <c r="U78" s="4"/>
      <c r="V78" s="4"/>
      <c r="W78" s="4"/>
      <c r="X78" s="4"/>
    </row>
    <row r="79" spans="1:24" ht="12.75">
      <c r="A79" s="4"/>
      <c r="B79" s="4"/>
      <c r="C79" s="4"/>
      <c r="D79" s="4"/>
      <c r="E79" s="4"/>
      <c r="F79" s="4"/>
      <c r="G79" s="4"/>
      <c r="H79" s="4"/>
      <c r="I79" s="4"/>
      <c r="J79" s="4"/>
      <c r="K79" s="4"/>
      <c r="L79" s="4"/>
      <c r="M79" s="4"/>
      <c r="N79" s="4"/>
      <c r="O79" s="4"/>
      <c r="P79" s="4"/>
      <c r="Q79" s="4"/>
      <c r="R79" s="4"/>
      <c r="S79" s="4"/>
      <c r="T79" s="4"/>
      <c r="U79" s="4"/>
      <c r="V79" s="4"/>
      <c r="W79" s="4"/>
      <c r="X79" s="4"/>
    </row>
    <row r="80" spans="1:24" ht="12.75">
      <c r="A80" s="4"/>
      <c r="B80" s="4"/>
      <c r="C80" s="4"/>
      <c r="D80" s="4"/>
      <c r="E80" s="4"/>
      <c r="F80" s="4"/>
      <c r="G80" s="4"/>
      <c r="H80" s="4"/>
      <c r="I80" s="4"/>
      <c r="J80" s="4"/>
      <c r="K80" s="4"/>
      <c r="L80" s="4"/>
      <c r="M80" s="4"/>
      <c r="N80" s="4"/>
      <c r="O80" s="4"/>
      <c r="P80" s="4"/>
      <c r="Q80" s="4"/>
      <c r="R80" s="4"/>
      <c r="S80" s="4"/>
      <c r="T80" s="4"/>
      <c r="U80" s="4"/>
      <c r="V80" s="4"/>
      <c r="W80" s="4"/>
      <c r="X80" s="4"/>
    </row>
    <row r="81" spans="1:24" ht="12.75">
      <c r="A81" s="4"/>
      <c r="B81" s="4"/>
      <c r="C81" s="4"/>
      <c r="D81" s="4"/>
      <c r="E81" s="4"/>
      <c r="F81" s="4"/>
      <c r="G81" s="4"/>
      <c r="H81" s="4"/>
      <c r="I81" s="4"/>
      <c r="J81" s="4"/>
      <c r="K81" s="4"/>
      <c r="L81" s="4"/>
      <c r="M81" s="4"/>
      <c r="N81" s="4"/>
      <c r="O81" s="4"/>
      <c r="P81" s="4"/>
      <c r="Q81" s="4"/>
      <c r="R81" s="4"/>
      <c r="S81" s="4"/>
      <c r="T81" s="4"/>
      <c r="U81" s="4"/>
      <c r="V81" s="4"/>
      <c r="W81" s="4"/>
      <c r="X81" s="4"/>
    </row>
    <row r="82" spans="1:24" ht="12.75">
      <c r="A82" s="4"/>
      <c r="B82" s="4"/>
      <c r="C82" s="4"/>
      <c r="D82" s="4"/>
      <c r="E82" s="4"/>
      <c r="F82" s="4"/>
      <c r="G82" s="4"/>
      <c r="H82" s="4"/>
      <c r="I82" s="4"/>
      <c r="J82" s="4"/>
      <c r="K82" s="4"/>
      <c r="L82" s="4"/>
      <c r="M82" s="4"/>
      <c r="N82" s="4"/>
      <c r="O82" s="4"/>
      <c r="P82" s="4"/>
      <c r="Q82" s="4"/>
      <c r="R82" s="4"/>
      <c r="S82" s="4"/>
      <c r="T82" s="4"/>
      <c r="U82" s="4"/>
      <c r="V82" s="4"/>
      <c r="W82" s="4"/>
      <c r="X82" s="4"/>
    </row>
    <row r="83" spans="1:24" ht="12.75">
      <c r="A83" s="4"/>
      <c r="B83" s="4"/>
      <c r="C83" s="4"/>
      <c r="D83" s="4"/>
      <c r="E83" s="4"/>
      <c r="F83" s="4"/>
      <c r="G83" s="4"/>
      <c r="H83" s="4"/>
      <c r="I83" s="4"/>
      <c r="J83" s="4"/>
      <c r="K83" s="4"/>
      <c r="L83" s="4"/>
      <c r="M83" s="4"/>
      <c r="N83" s="4"/>
      <c r="O83" s="4"/>
      <c r="P83" s="4"/>
      <c r="Q83" s="4"/>
      <c r="R83" s="4"/>
      <c r="S83" s="4"/>
      <c r="T83" s="4"/>
      <c r="U83" s="4"/>
      <c r="V83" s="4"/>
      <c r="W83" s="4"/>
      <c r="X83" s="4"/>
    </row>
    <row r="84" spans="1:24" ht="12.75">
      <c r="A84" s="4"/>
      <c r="B84" s="4"/>
      <c r="C84" s="4"/>
      <c r="D84" s="4"/>
      <c r="E84" s="4"/>
      <c r="F84" s="4"/>
      <c r="G84" s="4"/>
      <c r="H84" s="4"/>
      <c r="I84" s="4"/>
      <c r="J84" s="4"/>
      <c r="K84" s="4"/>
      <c r="L84" s="4"/>
      <c r="M84" s="4"/>
      <c r="N84" s="4"/>
      <c r="O84" s="4"/>
      <c r="P84" s="4"/>
      <c r="Q84" s="4"/>
      <c r="R84" s="4"/>
      <c r="S84" s="4"/>
      <c r="T84" s="4"/>
      <c r="U84" s="4"/>
      <c r="V84" s="4"/>
      <c r="W84" s="4"/>
      <c r="X84" s="4"/>
    </row>
    <row r="85" spans="1:24" ht="12.75">
      <c r="A85" s="4"/>
      <c r="B85" s="4"/>
      <c r="C85" s="4"/>
      <c r="D85" s="4"/>
      <c r="E85" s="4"/>
      <c r="F85" s="4"/>
      <c r="G85" s="4"/>
      <c r="H85" s="4"/>
      <c r="I85" s="4"/>
      <c r="J85" s="4"/>
      <c r="K85" s="4"/>
      <c r="L85" s="4"/>
      <c r="M85" s="4"/>
      <c r="N85" s="4"/>
      <c r="O85" s="4"/>
      <c r="P85" s="4"/>
      <c r="Q85" s="4"/>
      <c r="R85" s="4"/>
      <c r="S85" s="4"/>
      <c r="T85" s="4"/>
      <c r="U85" s="4"/>
      <c r="V85" s="4"/>
      <c r="W85" s="4"/>
      <c r="X85" s="4"/>
    </row>
    <row r="86" spans="1:24" ht="12.75">
      <c r="A86" s="4"/>
      <c r="B86" s="4"/>
      <c r="C86" s="4"/>
      <c r="D86" s="4"/>
      <c r="E86" s="4"/>
      <c r="F86" s="4"/>
      <c r="G86" s="4"/>
      <c r="H86" s="4"/>
      <c r="I86" s="4"/>
      <c r="J86" s="4"/>
      <c r="K86" s="4"/>
      <c r="L86" s="4"/>
      <c r="M86" s="4"/>
      <c r="N86" s="4"/>
      <c r="O86" s="4"/>
      <c r="P86" s="4"/>
      <c r="Q86" s="4"/>
      <c r="R86" s="4"/>
      <c r="S86" s="4"/>
      <c r="T86" s="4"/>
      <c r="U86" s="4"/>
      <c r="V86" s="4"/>
      <c r="W86" s="4"/>
      <c r="X86" s="4"/>
    </row>
    <row r="87" spans="1:24" ht="12.75">
      <c r="A87" s="4"/>
      <c r="B87" s="4"/>
      <c r="C87" s="4"/>
      <c r="D87" s="4"/>
      <c r="E87" s="4"/>
      <c r="F87" s="4"/>
      <c r="G87" s="4"/>
      <c r="H87" s="4"/>
      <c r="I87" s="4"/>
      <c r="J87" s="4"/>
      <c r="K87" s="4"/>
      <c r="L87" s="4"/>
      <c r="M87" s="4"/>
      <c r="N87" s="4"/>
      <c r="O87" s="4"/>
      <c r="P87" s="4"/>
      <c r="Q87" s="4"/>
      <c r="R87" s="4"/>
      <c r="S87" s="4"/>
      <c r="T87" s="4"/>
      <c r="U87" s="4"/>
      <c r="V87" s="4"/>
      <c r="W87" s="4"/>
      <c r="X87" s="4"/>
    </row>
    <row r="88" spans="1:24" ht="12.75">
      <c r="A88" s="4"/>
      <c r="B88" s="4"/>
      <c r="C88" s="4"/>
      <c r="D88" s="4"/>
      <c r="E88" s="4"/>
      <c r="F88" s="4"/>
      <c r="G88" s="4"/>
      <c r="H88" s="4"/>
      <c r="I88" s="4"/>
      <c r="J88" s="4"/>
      <c r="K88" s="4"/>
      <c r="L88" s="4"/>
      <c r="M88" s="4"/>
      <c r="N88" s="4"/>
      <c r="O88" s="4"/>
      <c r="P88" s="4"/>
      <c r="Q88" s="4"/>
      <c r="R88" s="4"/>
      <c r="S88" s="4"/>
      <c r="T88" s="4"/>
      <c r="U88" s="4"/>
      <c r="V88" s="4"/>
      <c r="W88" s="4"/>
      <c r="X88" s="4"/>
    </row>
    <row r="89" spans="1:24" ht="12.75">
      <c r="A89" s="4"/>
      <c r="B89" s="4"/>
      <c r="C89" s="4"/>
      <c r="D89" s="4"/>
      <c r="E89" s="4"/>
      <c r="F89" s="4"/>
      <c r="G89" s="4"/>
      <c r="H89" s="4"/>
      <c r="I89" s="4"/>
      <c r="J89" s="4"/>
      <c r="K89" s="4"/>
      <c r="L89" s="4"/>
      <c r="M89" s="4"/>
      <c r="N89" s="4"/>
      <c r="O89" s="4"/>
      <c r="P89" s="4"/>
      <c r="Q89" s="4"/>
      <c r="R89" s="4"/>
      <c r="S89" s="4"/>
      <c r="T89" s="4"/>
      <c r="U89" s="4"/>
      <c r="V89" s="4"/>
      <c r="W89" s="4"/>
      <c r="X89" s="4"/>
    </row>
    <row r="90" spans="1:24" ht="12.75">
      <c r="A90" s="4"/>
      <c r="B90" s="4"/>
      <c r="C90" s="4"/>
      <c r="D90" s="4"/>
      <c r="E90" s="4"/>
      <c r="F90" s="4"/>
      <c r="G90" s="4"/>
      <c r="H90" s="4"/>
      <c r="I90" s="4"/>
      <c r="J90" s="4"/>
      <c r="K90" s="4"/>
      <c r="L90" s="4"/>
      <c r="M90" s="4"/>
      <c r="N90" s="4"/>
      <c r="O90" s="4"/>
      <c r="P90" s="4"/>
      <c r="Q90" s="4"/>
      <c r="R90" s="4"/>
      <c r="S90" s="4"/>
      <c r="T90" s="4"/>
      <c r="U90" s="4"/>
      <c r="V90" s="4"/>
      <c r="W90" s="4"/>
      <c r="X90" s="4"/>
    </row>
    <row r="91" spans="1:24" ht="12.75">
      <c r="A91" s="4"/>
      <c r="B91" s="4"/>
      <c r="C91" s="4"/>
      <c r="D91" s="4"/>
      <c r="E91" s="4"/>
      <c r="F91" s="4"/>
      <c r="G91" s="4"/>
      <c r="H91" s="4"/>
      <c r="I91" s="4"/>
      <c r="J91" s="4"/>
      <c r="K91" s="4"/>
      <c r="L91" s="4"/>
      <c r="M91" s="4"/>
      <c r="N91" s="4"/>
      <c r="O91" s="4"/>
      <c r="P91" s="4"/>
      <c r="Q91" s="4"/>
      <c r="R91" s="4"/>
      <c r="S91" s="4"/>
      <c r="T91" s="4"/>
      <c r="U91" s="4"/>
      <c r="V91" s="4"/>
      <c r="W91" s="4"/>
      <c r="X91" s="4"/>
    </row>
    <row r="92" spans="1:24" ht="12.75">
      <c r="A92" s="4"/>
      <c r="B92" s="4"/>
      <c r="C92" s="4"/>
      <c r="D92" s="4"/>
      <c r="E92" s="4"/>
      <c r="F92" s="4"/>
      <c r="G92" s="4"/>
      <c r="H92" s="4"/>
      <c r="I92" s="4"/>
      <c r="J92" s="4"/>
      <c r="K92" s="4"/>
      <c r="L92" s="4"/>
      <c r="M92" s="4"/>
      <c r="N92" s="4"/>
      <c r="O92" s="4"/>
      <c r="P92" s="4"/>
      <c r="Q92" s="4"/>
      <c r="R92" s="4"/>
      <c r="S92" s="4"/>
      <c r="T92" s="4"/>
      <c r="U92" s="4"/>
      <c r="V92" s="4"/>
      <c r="W92" s="4"/>
      <c r="X92" s="4"/>
    </row>
    <row r="93" spans="1:24" ht="12.75">
      <c r="A93" s="4"/>
      <c r="B93" s="4"/>
      <c r="C93" s="4"/>
      <c r="D93" s="4"/>
      <c r="E93" s="4"/>
      <c r="F93" s="4"/>
      <c r="G93" s="4"/>
      <c r="H93" s="4"/>
      <c r="I93" s="4"/>
      <c r="J93" s="4"/>
      <c r="K93" s="4"/>
      <c r="L93" s="4"/>
      <c r="M93" s="4"/>
      <c r="N93" s="4"/>
      <c r="O93" s="4"/>
      <c r="P93" s="4"/>
      <c r="Q93" s="4"/>
      <c r="R93" s="4"/>
      <c r="S93" s="4"/>
      <c r="T93" s="4"/>
      <c r="U93" s="4"/>
      <c r="V93" s="4"/>
      <c r="W93" s="4"/>
      <c r="X93" s="4"/>
    </row>
    <row r="94" spans="1:24" ht="12.75">
      <c r="A94" s="4"/>
      <c r="B94" s="4"/>
      <c r="C94" s="4"/>
      <c r="D94" s="4"/>
      <c r="E94" s="4"/>
      <c r="F94" s="4"/>
      <c r="G94" s="4"/>
      <c r="H94" s="4"/>
      <c r="I94" s="4"/>
      <c r="J94" s="4"/>
      <c r="K94" s="4"/>
      <c r="L94" s="4"/>
      <c r="M94" s="4"/>
      <c r="N94" s="4"/>
      <c r="O94" s="4"/>
      <c r="P94" s="4"/>
      <c r="Q94" s="4"/>
      <c r="R94" s="4"/>
      <c r="S94" s="4"/>
      <c r="T94" s="4"/>
      <c r="U94" s="4"/>
      <c r="V94" s="4"/>
      <c r="W94" s="4"/>
      <c r="X94" s="4"/>
    </row>
    <row r="95" spans="1:24" ht="12.75">
      <c r="A95" s="4"/>
      <c r="B95" s="4"/>
      <c r="C95" s="4"/>
      <c r="D95" s="4"/>
      <c r="E95" s="4"/>
      <c r="F95" s="4"/>
      <c r="G95" s="4"/>
      <c r="H95" s="4"/>
      <c r="I95" s="4"/>
      <c r="J95" s="4"/>
      <c r="K95" s="4"/>
      <c r="L95" s="4"/>
      <c r="M95" s="4"/>
      <c r="N95" s="4"/>
      <c r="O95" s="4"/>
      <c r="P95" s="4"/>
      <c r="Q95" s="4"/>
      <c r="R95" s="4"/>
      <c r="S95" s="4"/>
      <c r="T95" s="4"/>
      <c r="U95" s="4"/>
      <c r="V95" s="4"/>
      <c r="W95" s="4"/>
      <c r="X95" s="4"/>
    </row>
    <row r="96" spans="1:24" ht="12.75">
      <c r="A96" s="4"/>
      <c r="B96" s="4"/>
      <c r="C96" s="4"/>
      <c r="D96" s="4"/>
      <c r="E96" s="4"/>
      <c r="F96" s="4"/>
      <c r="G96" s="4"/>
      <c r="H96" s="4"/>
      <c r="I96" s="4"/>
      <c r="J96" s="4"/>
      <c r="K96" s="4"/>
      <c r="L96" s="4"/>
      <c r="M96" s="4"/>
      <c r="N96" s="4"/>
      <c r="O96" s="4"/>
      <c r="P96" s="4"/>
      <c r="Q96" s="4"/>
      <c r="R96" s="4"/>
      <c r="S96" s="4"/>
      <c r="T96" s="4"/>
      <c r="U96" s="4"/>
      <c r="V96" s="4"/>
      <c r="W96" s="4"/>
      <c r="X96" s="4"/>
    </row>
    <row r="97" spans="1:24" ht="12.75">
      <c r="A97" s="4"/>
      <c r="B97" s="4"/>
      <c r="C97" s="4"/>
      <c r="D97" s="4"/>
      <c r="E97" s="4"/>
      <c r="F97" s="4"/>
      <c r="G97" s="4"/>
      <c r="H97" s="4"/>
      <c r="I97" s="4"/>
      <c r="J97" s="4"/>
      <c r="K97" s="4"/>
      <c r="L97" s="4"/>
      <c r="M97" s="4"/>
      <c r="N97" s="4"/>
      <c r="O97" s="4"/>
      <c r="P97" s="4"/>
      <c r="Q97" s="4"/>
      <c r="R97" s="4"/>
      <c r="S97" s="4"/>
      <c r="T97" s="4"/>
      <c r="U97" s="4"/>
      <c r="V97" s="4"/>
      <c r="W97" s="4"/>
      <c r="X97" s="4"/>
    </row>
    <row r="98" spans="1:24" ht="12.75">
      <c r="A98" s="4"/>
      <c r="B98" s="4"/>
      <c r="C98" s="4"/>
      <c r="D98" s="4"/>
      <c r="E98" s="4"/>
      <c r="F98" s="4"/>
      <c r="G98" s="4"/>
      <c r="H98" s="4"/>
      <c r="I98" s="4"/>
      <c r="J98" s="4"/>
      <c r="K98" s="4"/>
      <c r="L98" s="4"/>
      <c r="M98" s="4"/>
      <c r="N98" s="4"/>
      <c r="O98" s="4"/>
      <c r="P98" s="4"/>
      <c r="Q98" s="4"/>
      <c r="R98" s="4"/>
      <c r="S98" s="4"/>
      <c r="T98" s="4"/>
      <c r="U98" s="4"/>
      <c r="V98" s="4"/>
      <c r="W98" s="4"/>
      <c r="X98" s="4"/>
    </row>
    <row r="99" spans="1:24" ht="12.75">
      <c r="A99" s="4"/>
      <c r="B99" s="4"/>
      <c r="C99" s="4"/>
      <c r="D99" s="4"/>
      <c r="E99" s="4"/>
      <c r="F99" s="4"/>
      <c r="G99" s="4"/>
      <c r="H99" s="4"/>
      <c r="I99" s="4"/>
      <c r="J99" s="4"/>
      <c r="K99" s="4"/>
      <c r="L99" s="4"/>
      <c r="M99" s="4"/>
      <c r="N99" s="4"/>
      <c r="O99" s="4"/>
      <c r="P99" s="4"/>
      <c r="Q99" s="4"/>
      <c r="R99" s="4"/>
      <c r="S99" s="4"/>
      <c r="T99" s="4"/>
      <c r="U99" s="4"/>
      <c r="V99" s="4"/>
      <c r="W99" s="4"/>
      <c r="X99" s="4"/>
    </row>
    <row r="100" spans="1:24" ht="12.7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7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7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7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7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7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7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7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7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7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7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7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7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7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7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7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7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7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7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7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7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7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7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7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7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7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7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7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7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7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7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7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7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7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7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7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75">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75">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75">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75">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75">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75">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7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75">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75">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75">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75">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75">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75">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75">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75">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75">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75">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75">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75">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75">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75">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75">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75">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75">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75">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75">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75">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75">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75">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75">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75">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75">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75">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75">
      <c r="A171" s="4"/>
      <c r="B171" s="4"/>
      <c r="C171" s="4"/>
      <c r="D171" s="4"/>
      <c r="E171" s="4"/>
      <c r="F171" s="4"/>
      <c r="G171" s="4"/>
      <c r="H171" s="4"/>
      <c r="I171" s="4"/>
      <c r="J171" s="4"/>
      <c r="K171" s="4"/>
      <c r="L171" s="4"/>
      <c r="M171" s="4"/>
      <c r="N171" s="4"/>
      <c r="O171" s="4"/>
      <c r="P171" s="4"/>
      <c r="Q171" s="4"/>
      <c r="R171" s="4"/>
      <c r="S171" s="4"/>
      <c r="T171" s="4"/>
      <c r="U171" s="4"/>
      <c r="V171" s="4"/>
      <c r="W171" s="4"/>
      <c r="X171" s="4"/>
    </row>
  </sheetData>
  <sheetProtection password="CE3F" sheet="1" selectLockedCells="1" selectUnlockedCells="1"/>
  <mergeCells count="1">
    <mergeCell ref="D5:D14"/>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theme="1" tint="0.49998000264167786"/>
  </sheetPr>
  <dimension ref="A1:W359"/>
  <sheetViews>
    <sheetView zoomScalePageLayoutView="0" workbookViewId="0" topLeftCell="A1">
      <selection activeCell="C3" sqref="C3"/>
    </sheetView>
  </sheetViews>
  <sheetFormatPr defaultColWidth="9.140625" defaultRowHeight="12.75"/>
  <cols>
    <col min="1" max="1" width="4.8515625" style="0" customWidth="1"/>
    <col min="2" max="2" width="3.140625" style="0" customWidth="1"/>
    <col min="3" max="3" width="2.8515625" style="0" customWidth="1"/>
    <col min="4" max="4" width="42.7109375" style="0" customWidth="1"/>
    <col min="5" max="5" width="12.140625" style="0" customWidth="1"/>
    <col min="6" max="6" width="3.421875" style="0" customWidth="1"/>
    <col min="7" max="7" width="13.7109375" style="0" customWidth="1"/>
    <col min="8" max="8" width="2.7109375" style="0" customWidth="1"/>
    <col min="9" max="9" width="2.57421875" style="0" customWidth="1"/>
    <col min="10" max="10" width="3.00390625" style="0" customWidth="1"/>
    <col min="13" max="13" width="9.28125" style="0" customWidth="1"/>
  </cols>
  <sheetData>
    <row r="1" spans="1:23" ht="12.75">
      <c r="A1" s="4"/>
      <c r="B1" s="4"/>
      <c r="C1" s="4"/>
      <c r="D1" s="4"/>
      <c r="E1" s="4"/>
      <c r="F1" s="4"/>
      <c r="G1" s="4"/>
      <c r="H1" s="4"/>
      <c r="I1" s="4"/>
      <c r="J1" s="4"/>
      <c r="K1" s="4"/>
      <c r="L1" s="4"/>
      <c r="M1" s="4"/>
      <c r="N1" s="4"/>
      <c r="O1" s="4"/>
      <c r="P1" s="4"/>
      <c r="Q1" s="4"/>
      <c r="R1" s="4"/>
      <c r="S1" s="4"/>
      <c r="T1" s="4"/>
      <c r="U1" s="4"/>
      <c r="V1" s="4"/>
      <c r="W1" s="4"/>
    </row>
    <row r="2" spans="1:23" ht="12.75">
      <c r="A2" s="4"/>
      <c r="B2" s="12"/>
      <c r="C2" s="12"/>
      <c r="D2" s="12"/>
      <c r="E2" s="12"/>
      <c r="F2" s="12"/>
      <c r="G2" s="12"/>
      <c r="H2" s="12"/>
      <c r="I2" s="12"/>
      <c r="J2" s="12"/>
      <c r="K2" s="4"/>
      <c r="L2" s="4"/>
      <c r="M2" s="4"/>
      <c r="N2" s="4"/>
      <c r="O2" s="4"/>
      <c r="P2" s="4"/>
      <c r="Q2" s="4"/>
      <c r="R2" s="4"/>
      <c r="S2" s="4"/>
      <c r="T2" s="4"/>
      <c r="U2" s="4"/>
      <c r="V2" s="4"/>
      <c r="W2" s="4"/>
    </row>
    <row r="3" spans="1:23" ht="12.75">
      <c r="A3" s="4"/>
      <c r="B3" s="12"/>
      <c r="C3" s="4"/>
      <c r="D3" s="258" t="s">
        <v>339</v>
      </c>
      <c r="E3" s="350">
        <v>3510</v>
      </c>
      <c r="F3" s="270"/>
      <c r="G3" s="270"/>
      <c r="H3" s="270"/>
      <c r="I3" s="4"/>
      <c r="J3" s="12"/>
      <c r="K3" s="4"/>
      <c r="L3" s="4"/>
      <c r="M3" s="4"/>
      <c r="N3" s="4"/>
      <c r="O3" s="4"/>
      <c r="P3" s="4"/>
      <c r="Q3" s="4"/>
      <c r="R3" s="4"/>
      <c r="S3" s="4"/>
      <c r="T3" s="4"/>
      <c r="U3" s="4"/>
      <c r="V3" s="4"/>
      <c r="W3" s="4"/>
    </row>
    <row r="4" spans="1:23" ht="12.75">
      <c r="A4" s="4"/>
      <c r="B4" s="12"/>
      <c r="C4" s="4"/>
      <c r="D4" s="4"/>
      <c r="E4" s="270"/>
      <c r="F4" s="270"/>
      <c r="G4" s="270"/>
      <c r="H4" s="270"/>
      <c r="I4" s="4"/>
      <c r="J4" s="12"/>
      <c r="K4" s="4"/>
      <c r="L4" s="4"/>
      <c r="M4" s="4"/>
      <c r="N4" s="4"/>
      <c r="O4" s="4"/>
      <c r="P4" s="4"/>
      <c r="Q4" s="4"/>
      <c r="R4" s="4"/>
      <c r="S4" s="4"/>
      <c r="T4" s="4"/>
      <c r="U4" s="4"/>
      <c r="V4" s="4"/>
      <c r="W4" s="4"/>
    </row>
    <row r="5" spans="1:23" ht="12.75">
      <c r="A5" s="4"/>
      <c r="B5" s="12"/>
      <c r="C5" s="94"/>
      <c r="D5" s="350" t="s">
        <v>54</v>
      </c>
      <c r="E5" s="351"/>
      <c r="F5" s="351"/>
      <c r="G5" s="351"/>
      <c r="H5" s="351"/>
      <c r="I5" s="4"/>
      <c r="J5" s="12"/>
      <c r="K5" s="4"/>
      <c r="L5" s="4"/>
      <c r="M5" s="4"/>
      <c r="N5" s="4"/>
      <c r="O5" s="4"/>
      <c r="P5" s="4"/>
      <c r="Q5" s="4"/>
      <c r="R5" s="4"/>
      <c r="S5" s="4"/>
      <c r="T5" s="4"/>
      <c r="U5" s="4"/>
      <c r="V5" s="4"/>
      <c r="W5" s="4"/>
    </row>
    <row r="6" spans="1:23" ht="12.75">
      <c r="A6" s="4"/>
      <c r="B6" s="12"/>
      <c r="C6" s="94"/>
      <c r="D6" s="374" t="s">
        <v>474</v>
      </c>
      <c r="E6" s="351"/>
      <c r="F6" s="351"/>
      <c r="G6" s="351"/>
      <c r="H6" s="351"/>
      <c r="I6" s="4"/>
      <c r="J6" s="12"/>
      <c r="K6" s="4"/>
      <c r="L6" s="4"/>
      <c r="M6" s="4"/>
      <c r="N6" s="4"/>
      <c r="O6" s="4"/>
      <c r="P6" s="4"/>
      <c r="Q6" s="4"/>
      <c r="R6" s="4"/>
      <c r="S6" s="4"/>
      <c r="T6" s="4"/>
      <c r="U6" s="4"/>
      <c r="V6" s="4"/>
      <c r="W6" s="4"/>
    </row>
    <row r="7" spans="1:23" ht="12.75">
      <c r="A7" s="4"/>
      <c r="B7" s="12"/>
      <c r="C7" s="94"/>
      <c r="D7" s="381" t="s">
        <v>208</v>
      </c>
      <c r="E7" s="348"/>
      <c r="F7" s="349"/>
      <c r="G7" s="349"/>
      <c r="H7" s="349"/>
      <c r="I7" s="4"/>
      <c r="J7" s="12"/>
      <c r="K7" s="4"/>
      <c r="L7" s="4"/>
      <c r="M7" s="4"/>
      <c r="N7" s="4"/>
      <c r="O7" s="4"/>
      <c r="P7" s="4"/>
      <c r="Q7" s="4"/>
      <c r="R7" s="4"/>
      <c r="S7" s="4"/>
      <c r="T7" s="4"/>
      <c r="U7" s="4"/>
      <c r="V7" s="4"/>
      <c r="W7" s="4"/>
    </row>
    <row r="8" spans="1:23" ht="12.75">
      <c r="A8" s="4"/>
      <c r="B8" s="12"/>
      <c r="C8" s="94"/>
      <c r="D8" s="352"/>
      <c r="E8" s="189" t="s">
        <v>23</v>
      </c>
      <c r="F8" s="190"/>
      <c r="G8" s="190"/>
      <c r="H8" s="190"/>
      <c r="I8" s="4"/>
      <c r="J8" s="12"/>
      <c r="K8" s="4"/>
      <c r="L8" s="4"/>
      <c r="M8" s="4"/>
      <c r="N8" s="4"/>
      <c r="O8" s="4"/>
      <c r="P8" s="4"/>
      <c r="Q8" s="4"/>
      <c r="R8" s="4"/>
      <c r="S8" s="4"/>
      <c r="T8" s="4"/>
      <c r="U8" s="4"/>
      <c r="V8" s="4"/>
      <c r="W8" s="4"/>
    </row>
    <row r="9" spans="1:23" ht="12.75">
      <c r="A9" s="4"/>
      <c r="B9" s="12"/>
      <c r="C9" s="94"/>
      <c r="D9" s="93" t="s">
        <v>25</v>
      </c>
      <c r="E9" s="93" t="s">
        <v>2</v>
      </c>
      <c r="F9" s="93"/>
      <c r="G9" s="95"/>
      <c r="H9" s="95"/>
      <c r="I9" s="4"/>
      <c r="J9" s="12"/>
      <c r="K9" s="4"/>
      <c r="L9" s="4"/>
      <c r="M9" s="4"/>
      <c r="N9" s="4"/>
      <c r="O9" s="4"/>
      <c r="P9" s="4"/>
      <c r="Q9" s="4"/>
      <c r="R9" s="4"/>
      <c r="S9" s="4"/>
      <c r="T9" s="4"/>
      <c r="U9" s="4"/>
      <c r="V9" s="4"/>
      <c r="W9" s="4"/>
    </row>
    <row r="10" spans="1:23" ht="12.75">
      <c r="A10" s="4"/>
      <c r="B10" s="12"/>
      <c r="C10" s="94"/>
      <c r="D10" s="93" t="s">
        <v>0</v>
      </c>
      <c r="E10" s="94"/>
      <c r="F10" s="94"/>
      <c r="G10" s="95"/>
      <c r="H10" s="95"/>
      <c r="I10" s="4"/>
      <c r="J10" s="12"/>
      <c r="K10" s="4"/>
      <c r="L10" s="4"/>
      <c r="M10" s="4"/>
      <c r="N10" s="4"/>
      <c r="O10" s="4"/>
      <c r="P10" s="4"/>
      <c r="Q10" s="4"/>
      <c r="R10" s="4"/>
      <c r="S10" s="4"/>
      <c r="T10" s="4"/>
      <c r="U10" s="4"/>
      <c r="V10" s="4"/>
      <c r="W10" s="4"/>
    </row>
    <row r="11" spans="1:23" ht="12.75">
      <c r="A11" s="4"/>
      <c r="B11" s="12"/>
      <c r="C11" s="94"/>
      <c r="D11" s="94" t="s">
        <v>27</v>
      </c>
      <c r="E11" s="161">
        <f>SUM(BalanceSheets!E11)</f>
        <v>445023.5</v>
      </c>
      <c r="F11" s="172"/>
      <c r="G11" s="228"/>
      <c r="H11" s="228"/>
      <c r="I11" s="4"/>
      <c r="J11" s="12"/>
      <c r="K11" s="4"/>
      <c r="L11" s="4"/>
      <c r="M11" s="4"/>
      <c r="N11" s="4"/>
      <c r="O11" s="4"/>
      <c r="P11" s="4"/>
      <c r="Q11" s="4"/>
      <c r="R11" s="4"/>
      <c r="S11" s="4"/>
      <c r="T11" s="4"/>
      <c r="U11" s="4"/>
      <c r="V11" s="4"/>
      <c r="W11" s="4"/>
    </row>
    <row r="12" spans="1:23" ht="12.75">
      <c r="A12" s="4"/>
      <c r="B12" s="12"/>
      <c r="C12" s="94"/>
      <c r="D12" s="94" t="s">
        <v>49</v>
      </c>
      <c r="E12" s="161">
        <f>SUM(BalanceSheets!E12)</f>
        <v>220000</v>
      </c>
      <c r="F12" s="172"/>
      <c r="G12" s="228"/>
      <c r="H12" s="228"/>
      <c r="I12" s="4"/>
      <c r="J12" s="12"/>
      <c r="K12" s="4"/>
      <c r="L12" s="4"/>
      <c r="M12" s="4"/>
      <c r="N12" s="4"/>
      <c r="O12" s="4"/>
      <c r="P12" s="4"/>
      <c r="Q12" s="4"/>
      <c r="R12" s="4"/>
      <c r="S12" s="4"/>
      <c r="T12" s="4"/>
      <c r="U12" s="4"/>
      <c r="V12" s="4"/>
      <c r="W12" s="4"/>
    </row>
    <row r="13" spans="1:23" ht="12.75">
      <c r="A13" s="4"/>
      <c r="B13" s="12"/>
      <c r="C13" s="94"/>
      <c r="D13" s="94" t="s">
        <v>28</v>
      </c>
      <c r="E13" s="161">
        <f>SUM(BalanceSheets!E13)</f>
        <v>609960</v>
      </c>
      <c r="F13" s="111"/>
      <c r="G13" s="143"/>
      <c r="H13" s="165"/>
      <c r="I13" s="4"/>
      <c r="J13" s="12"/>
      <c r="K13" s="4"/>
      <c r="L13" s="4"/>
      <c r="M13" s="4"/>
      <c r="N13" s="4"/>
      <c r="O13" s="4"/>
      <c r="P13" s="4"/>
      <c r="Q13" s="4"/>
      <c r="R13" s="4"/>
      <c r="S13" s="4"/>
      <c r="T13" s="4"/>
      <c r="U13" s="4"/>
      <c r="V13" s="4"/>
      <c r="W13" s="4"/>
    </row>
    <row r="14" spans="1:23" ht="12.75">
      <c r="A14" s="4"/>
      <c r="B14" s="12"/>
      <c r="C14" s="94"/>
      <c r="D14" s="94" t="s">
        <v>56</v>
      </c>
      <c r="E14" s="161">
        <f>SUM(BalanceSheets!E14)</f>
        <v>91573</v>
      </c>
      <c r="F14" s="111"/>
      <c r="G14" s="143"/>
      <c r="H14" s="165"/>
      <c r="I14" s="4"/>
      <c r="J14" s="12"/>
      <c r="K14" s="4"/>
      <c r="L14" s="4"/>
      <c r="M14" s="4"/>
      <c r="N14" s="4"/>
      <c r="O14" s="4"/>
      <c r="P14" s="4"/>
      <c r="Q14" s="4"/>
      <c r="R14" s="4"/>
      <c r="S14" s="4"/>
      <c r="T14" s="4"/>
      <c r="U14" s="4"/>
      <c r="V14" s="4"/>
      <c r="W14" s="4"/>
    </row>
    <row r="15" spans="1:23" ht="12.75">
      <c r="A15" s="4"/>
      <c r="B15" s="12"/>
      <c r="C15" s="94"/>
      <c r="D15" s="94" t="s">
        <v>57</v>
      </c>
      <c r="E15" s="161">
        <f>SUM(BalanceSheets!E15)</f>
        <v>130260</v>
      </c>
      <c r="F15" s="172"/>
      <c r="G15" s="228"/>
      <c r="H15" s="228"/>
      <c r="I15" s="4"/>
      <c r="J15" s="12"/>
      <c r="K15" s="4"/>
      <c r="L15" s="4"/>
      <c r="M15" s="4"/>
      <c r="N15" s="4"/>
      <c r="O15" s="4"/>
      <c r="P15" s="4"/>
      <c r="Q15" s="4"/>
      <c r="R15" s="4"/>
      <c r="S15" s="4"/>
      <c r="T15" s="4"/>
      <c r="U15" s="4"/>
      <c r="V15" s="4"/>
      <c r="W15" s="4"/>
    </row>
    <row r="16" spans="1:23" ht="12.75">
      <c r="A16" s="4"/>
      <c r="B16" s="12"/>
      <c r="C16" s="94"/>
      <c r="D16" s="94" t="s">
        <v>58</v>
      </c>
      <c r="E16" s="161">
        <f>SUM(BalanceSheets!E16)</f>
        <v>0</v>
      </c>
      <c r="F16" s="172"/>
      <c r="G16" s="228"/>
      <c r="H16" s="228"/>
      <c r="I16" s="4"/>
      <c r="J16" s="12"/>
      <c r="K16" s="4"/>
      <c r="L16" s="4"/>
      <c r="M16" s="4"/>
      <c r="N16" s="4"/>
      <c r="O16" s="4"/>
      <c r="P16" s="4"/>
      <c r="Q16" s="4"/>
      <c r="R16" s="4"/>
      <c r="S16" s="4"/>
      <c r="T16" s="4"/>
      <c r="U16" s="4"/>
      <c r="V16" s="4"/>
      <c r="W16" s="4"/>
    </row>
    <row r="17" spans="1:23" ht="12.75">
      <c r="A17" s="4"/>
      <c r="B17" s="12"/>
      <c r="C17" s="94"/>
      <c r="D17" s="94" t="s">
        <v>29</v>
      </c>
      <c r="E17" s="167">
        <f>SUM(BalanceSheets!E17)</f>
        <v>110000</v>
      </c>
      <c r="F17" s="215"/>
      <c r="G17" s="228"/>
      <c r="H17" s="229"/>
      <c r="I17" s="4"/>
      <c r="J17" s="12"/>
      <c r="K17" s="4"/>
      <c r="L17" s="4"/>
      <c r="M17" s="4"/>
      <c r="N17" s="4"/>
      <c r="O17" s="4"/>
      <c r="P17" s="4"/>
      <c r="Q17" s="4"/>
      <c r="R17" s="4"/>
      <c r="S17" s="4"/>
      <c r="T17" s="4"/>
      <c r="U17" s="4"/>
      <c r="V17" s="4"/>
      <c r="W17" s="4"/>
    </row>
    <row r="18" spans="1:23" ht="12.75">
      <c r="A18" s="4"/>
      <c r="B18" s="12"/>
      <c r="C18" s="94"/>
      <c r="D18" s="94" t="s">
        <v>30</v>
      </c>
      <c r="E18" s="161">
        <f>SUM(BalanceSheets!E18)</f>
        <v>1606816.5</v>
      </c>
      <c r="F18" s="215"/>
      <c r="G18" s="229"/>
      <c r="H18" s="229"/>
      <c r="I18" s="4"/>
      <c r="J18" s="12"/>
      <c r="K18" s="4"/>
      <c r="L18" s="4"/>
      <c r="M18" s="4"/>
      <c r="N18" s="4"/>
      <c r="O18" s="4"/>
      <c r="P18" s="4"/>
      <c r="Q18" s="4"/>
      <c r="R18" s="4"/>
      <c r="S18" s="4"/>
      <c r="T18" s="4"/>
      <c r="U18" s="4"/>
      <c r="V18" s="4"/>
      <c r="W18" s="4"/>
    </row>
    <row r="19" spans="1:23" ht="12.75">
      <c r="A19" s="4"/>
      <c r="B19" s="12"/>
      <c r="C19" s="94"/>
      <c r="D19" s="93" t="s">
        <v>26</v>
      </c>
      <c r="E19" s="161">
        <f>SUM(BalanceSheets!E19)</f>
        <v>0</v>
      </c>
      <c r="F19" s="172"/>
      <c r="G19" s="228"/>
      <c r="H19" s="228"/>
      <c r="I19" s="4"/>
      <c r="J19" s="12"/>
      <c r="K19" s="4"/>
      <c r="L19" s="4"/>
      <c r="M19" s="4"/>
      <c r="N19" s="4"/>
      <c r="O19" s="4"/>
      <c r="P19" s="4"/>
      <c r="Q19" s="4"/>
      <c r="R19" s="4"/>
      <c r="S19" s="4"/>
      <c r="T19" s="4"/>
      <c r="U19" s="4"/>
      <c r="V19" s="4"/>
      <c r="W19" s="4"/>
    </row>
    <row r="20" spans="1:23" ht="12.75">
      <c r="A20" s="4"/>
      <c r="B20" s="12"/>
      <c r="C20" s="94"/>
      <c r="D20" s="94" t="s">
        <v>31</v>
      </c>
      <c r="E20" s="161">
        <f>SUM(BalanceSheets!E20)</f>
        <v>100000</v>
      </c>
      <c r="F20" s="172"/>
      <c r="G20" s="228"/>
      <c r="H20" s="228"/>
      <c r="I20" s="4"/>
      <c r="J20" s="12"/>
      <c r="K20" s="4"/>
      <c r="L20" s="4"/>
      <c r="M20" s="4"/>
      <c r="N20" s="4"/>
      <c r="O20" s="4"/>
      <c r="P20" s="4"/>
      <c r="Q20" s="4"/>
      <c r="R20" s="4"/>
      <c r="S20" s="4"/>
      <c r="T20" s="4"/>
      <c r="U20" s="4"/>
      <c r="V20" s="4"/>
      <c r="W20" s="4"/>
    </row>
    <row r="21" spans="1:23" ht="12.75">
      <c r="A21" s="4"/>
      <c r="B21" s="12"/>
      <c r="C21" s="94"/>
      <c r="D21" s="94" t="s">
        <v>59</v>
      </c>
      <c r="E21" s="161">
        <f>SUM(BalanceSheets!E21)</f>
        <v>2000000</v>
      </c>
      <c r="F21" s="172"/>
      <c r="G21" s="228"/>
      <c r="H21" s="228"/>
      <c r="I21" s="4"/>
      <c r="J21" s="12"/>
      <c r="K21" s="4"/>
      <c r="L21" s="4"/>
      <c r="M21" s="4"/>
      <c r="N21" s="4"/>
      <c r="O21" s="4"/>
      <c r="P21" s="4"/>
      <c r="Q21" s="4"/>
      <c r="R21" s="4"/>
      <c r="S21" s="4"/>
      <c r="T21" s="4"/>
      <c r="U21" s="4"/>
      <c r="V21" s="4"/>
      <c r="W21" s="4"/>
    </row>
    <row r="22" spans="1:23" ht="12.75">
      <c r="A22" s="4"/>
      <c r="B22" s="12"/>
      <c r="C22" s="94"/>
      <c r="D22" s="94" t="s">
        <v>32</v>
      </c>
      <c r="E22" s="161">
        <f>SUM(BalanceSheets!E23)</f>
        <v>500000</v>
      </c>
      <c r="F22" s="215"/>
      <c r="G22" s="229"/>
      <c r="H22" s="229"/>
      <c r="I22" s="4"/>
      <c r="J22" s="12"/>
      <c r="K22" s="4"/>
      <c r="L22" s="4"/>
      <c r="M22" s="4"/>
      <c r="N22" s="4"/>
      <c r="O22" s="4"/>
      <c r="P22" s="4"/>
      <c r="Q22" s="4"/>
      <c r="R22" s="4"/>
      <c r="S22" s="4"/>
      <c r="T22" s="4"/>
      <c r="U22" s="4"/>
      <c r="V22" s="4"/>
      <c r="W22" s="4"/>
    </row>
    <row r="23" spans="1:23" ht="12.75">
      <c r="A23" s="4"/>
      <c r="B23" s="12"/>
      <c r="C23" s="94"/>
      <c r="D23" s="94"/>
      <c r="E23" s="161">
        <f>SUM(BalanceSheets!E24)</f>
        <v>3400000</v>
      </c>
      <c r="F23" s="172"/>
      <c r="G23" s="228"/>
      <c r="H23" s="228"/>
      <c r="I23" s="4"/>
      <c r="J23" s="12"/>
      <c r="K23" s="4"/>
      <c r="L23" s="4"/>
      <c r="M23" s="4"/>
      <c r="N23" s="4"/>
      <c r="O23" s="4"/>
      <c r="P23" s="4"/>
      <c r="Q23" s="4"/>
      <c r="R23" s="4"/>
      <c r="S23" s="4"/>
      <c r="T23" s="4"/>
      <c r="U23" s="4"/>
      <c r="V23" s="4"/>
      <c r="W23" s="4"/>
    </row>
    <row r="24" spans="1:23" ht="12.75">
      <c r="A24" s="4"/>
      <c r="B24" s="12"/>
      <c r="C24" s="94"/>
      <c r="D24" s="94" t="s">
        <v>33</v>
      </c>
      <c r="E24" s="257">
        <f>SUM(BalanceSheets!E25)</f>
        <v>-690000</v>
      </c>
      <c r="F24" s="172"/>
      <c r="G24" s="228"/>
      <c r="H24" s="228"/>
      <c r="I24" s="4"/>
      <c r="J24" s="12"/>
      <c r="K24" s="4"/>
      <c r="L24" s="4"/>
      <c r="M24" s="4"/>
      <c r="N24" s="4"/>
      <c r="O24" s="4"/>
      <c r="P24" s="4"/>
      <c r="Q24" s="4"/>
      <c r="R24" s="4"/>
      <c r="S24" s="4"/>
      <c r="T24" s="4"/>
      <c r="U24" s="4"/>
      <c r="V24" s="4"/>
      <c r="W24" s="4"/>
    </row>
    <row r="25" spans="1:23" ht="12.75">
      <c r="A25" s="4"/>
      <c r="B25" s="12"/>
      <c r="C25" s="94"/>
      <c r="D25" s="94" t="s">
        <v>34</v>
      </c>
      <c r="E25" s="161">
        <f>SUM(BalanceSheets!E26)</f>
        <v>2710000</v>
      </c>
      <c r="F25" s="172"/>
      <c r="G25" s="228"/>
      <c r="H25" s="228"/>
      <c r="I25" s="4"/>
      <c r="J25" s="12"/>
      <c r="K25" s="4"/>
      <c r="L25" s="4"/>
      <c r="M25" s="4"/>
      <c r="N25" s="4"/>
      <c r="O25" s="4"/>
      <c r="P25" s="4"/>
      <c r="Q25" s="4"/>
      <c r="R25" s="4"/>
      <c r="S25" s="4"/>
      <c r="T25" s="4"/>
      <c r="U25" s="4"/>
      <c r="V25" s="4"/>
      <c r="W25" s="4"/>
    </row>
    <row r="26" spans="1:23" ht="13.5" thickBot="1">
      <c r="A26" s="4"/>
      <c r="B26" s="12"/>
      <c r="C26" s="94"/>
      <c r="D26" s="93" t="s">
        <v>35</v>
      </c>
      <c r="E26" s="170">
        <f>SUM(BalanceSheets!E27)</f>
        <v>4316816.5</v>
      </c>
      <c r="F26" s="228"/>
      <c r="G26" s="228"/>
      <c r="H26" s="228"/>
      <c r="I26" s="4"/>
      <c r="J26" s="12"/>
      <c r="K26" s="4"/>
      <c r="L26" s="4"/>
      <c r="M26" s="4"/>
      <c r="N26" s="4"/>
      <c r="O26" s="4"/>
      <c r="P26" s="4"/>
      <c r="Q26" s="4"/>
      <c r="R26" s="4"/>
      <c r="S26" s="4"/>
      <c r="T26" s="4"/>
      <c r="U26" s="4"/>
      <c r="V26" s="4"/>
      <c r="W26" s="4"/>
    </row>
    <row r="27" spans="1:23" ht="13.5" thickTop="1">
      <c r="A27" s="4"/>
      <c r="B27" s="12"/>
      <c r="C27" s="94"/>
      <c r="D27" s="94"/>
      <c r="E27" s="94"/>
      <c r="F27" s="172"/>
      <c r="G27" s="172"/>
      <c r="H27" s="172"/>
      <c r="I27" s="4"/>
      <c r="J27" s="12"/>
      <c r="K27" s="4"/>
      <c r="L27" s="4"/>
      <c r="M27" s="4"/>
      <c r="N27" s="4"/>
      <c r="O27" s="4"/>
      <c r="P27" s="4"/>
      <c r="Q27" s="4"/>
      <c r="R27" s="4"/>
      <c r="S27" s="4"/>
      <c r="T27" s="4"/>
      <c r="U27" s="4"/>
      <c r="V27" s="4"/>
      <c r="W27" s="4"/>
    </row>
    <row r="28" spans="1:23" ht="12.75">
      <c r="A28" s="4"/>
      <c r="B28" s="12"/>
      <c r="C28" s="94"/>
      <c r="D28" s="93" t="s">
        <v>36</v>
      </c>
      <c r="E28" s="172"/>
      <c r="F28" s="172"/>
      <c r="G28" s="172"/>
      <c r="H28" s="172"/>
      <c r="I28" s="4"/>
      <c r="J28" s="12"/>
      <c r="K28" s="4"/>
      <c r="L28" s="4"/>
      <c r="M28" s="4"/>
      <c r="N28" s="4"/>
      <c r="O28" s="4"/>
      <c r="P28" s="4"/>
      <c r="Q28" s="4"/>
      <c r="R28" s="4"/>
      <c r="S28" s="4"/>
      <c r="T28" s="4"/>
      <c r="U28" s="4"/>
      <c r="V28" s="4"/>
      <c r="W28" s="4"/>
    </row>
    <row r="29" spans="1:23" ht="12.75">
      <c r="A29" s="4"/>
      <c r="B29" s="12"/>
      <c r="C29" s="94"/>
      <c r="D29" s="93" t="s">
        <v>1</v>
      </c>
      <c r="E29" s="214" t="s">
        <v>2</v>
      </c>
      <c r="F29" s="214"/>
      <c r="G29" s="228"/>
      <c r="H29" s="228"/>
      <c r="I29" s="4"/>
      <c r="J29" s="12"/>
      <c r="K29" s="4"/>
      <c r="L29" s="4"/>
      <c r="M29" s="4"/>
      <c r="N29" s="4"/>
      <c r="O29" s="4"/>
      <c r="P29" s="4"/>
      <c r="Q29" s="4"/>
      <c r="R29" s="4"/>
      <c r="S29" s="4"/>
      <c r="T29" s="4"/>
      <c r="U29" s="4"/>
      <c r="V29" s="4"/>
      <c r="W29" s="4"/>
    </row>
    <row r="30" spans="1:23" ht="12.75">
      <c r="A30" s="4"/>
      <c r="B30" s="12"/>
      <c r="C30" s="94"/>
      <c r="D30" s="94" t="s">
        <v>40</v>
      </c>
      <c r="E30" s="165">
        <f>SUM(BalanceSheets!E31)</f>
        <v>261200</v>
      </c>
      <c r="F30" s="172"/>
      <c r="G30" s="228"/>
      <c r="H30" s="228"/>
      <c r="I30" s="4"/>
      <c r="J30" s="12"/>
      <c r="K30" s="4"/>
      <c r="L30" s="4"/>
      <c r="M30" s="4"/>
      <c r="N30" s="4"/>
      <c r="O30" s="4"/>
      <c r="P30" s="4"/>
      <c r="Q30" s="4"/>
      <c r="R30" s="4"/>
      <c r="S30" s="4"/>
      <c r="T30" s="4"/>
      <c r="U30" s="4"/>
      <c r="V30" s="4"/>
      <c r="W30" s="4"/>
    </row>
    <row r="31" spans="1:23" ht="12.75">
      <c r="A31" s="4"/>
      <c r="B31" s="12"/>
      <c r="C31" s="94"/>
      <c r="D31" s="94" t="s">
        <v>37</v>
      </c>
      <c r="E31" s="165">
        <f>SUM(BalanceSheets!E32)</f>
        <v>13000</v>
      </c>
      <c r="F31" s="172"/>
      <c r="G31" s="228"/>
      <c r="H31" s="228"/>
      <c r="I31" s="4"/>
      <c r="J31" s="12"/>
      <c r="K31" s="4"/>
      <c r="L31" s="4"/>
      <c r="M31" s="4"/>
      <c r="N31" s="4"/>
      <c r="O31" s="4"/>
      <c r="P31" s="4"/>
      <c r="Q31" s="4"/>
      <c r="R31" s="4"/>
      <c r="S31" s="4"/>
      <c r="T31" s="4"/>
      <c r="U31" s="4"/>
      <c r="V31" s="4"/>
      <c r="W31" s="4"/>
    </row>
    <row r="32" spans="1:23" ht="12.75">
      <c r="A32" s="4"/>
      <c r="B32" s="12"/>
      <c r="C32" s="94"/>
      <c r="D32" s="95" t="s">
        <v>38</v>
      </c>
      <c r="E32" s="167">
        <f>SUM(BalanceSheets!E33)</f>
        <v>26000</v>
      </c>
      <c r="F32" s="215"/>
      <c r="G32" s="228"/>
      <c r="H32" s="229"/>
      <c r="I32" s="4"/>
      <c r="J32" s="12"/>
      <c r="K32" s="4"/>
      <c r="L32" s="4"/>
      <c r="M32" s="4"/>
      <c r="N32" s="4"/>
      <c r="O32" s="4"/>
      <c r="P32" s="4"/>
      <c r="Q32" s="4"/>
      <c r="R32" s="4"/>
      <c r="S32" s="4"/>
      <c r="T32" s="4"/>
      <c r="U32" s="4"/>
      <c r="V32" s="4"/>
      <c r="W32" s="4"/>
    </row>
    <row r="33" spans="1:23" ht="12.75">
      <c r="A33" s="4"/>
      <c r="B33" s="12"/>
      <c r="C33" s="94"/>
      <c r="D33" s="95" t="s">
        <v>39</v>
      </c>
      <c r="E33" s="165">
        <f>SUM(BalanceSheets!E34)</f>
        <v>300200</v>
      </c>
      <c r="F33" s="172"/>
      <c r="G33" s="228"/>
      <c r="H33" s="228"/>
      <c r="I33" s="4"/>
      <c r="J33" s="12"/>
      <c r="K33" s="4"/>
      <c r="L33" s="4"/>
      <c r="M33" s="4"/>
      <c r="N33" s="4"/>
      <c r="O33" s="4"/>
      <c r="P33" s="4"/>
      <c r="Q33" s="4"/>
      <c r="R33" s="4"/>
      <c r="S33" s="4"/>
      <c r="T33" s="4"/>
      <c r="U33" s="4"/>
      <c r="V33" s="4"/>
      <c r="W33" s="4"/>
    </row>
    <row r="34" spans="1:23" ht="12.75">
      <c r="A34" s="4"/>
      <c r="B34" s="12"/>
      <c r="C34" s="94"/>
      <c r="D34" s="151" t="s">
        <v>9</v>
      </c>
      <c r="E34" s="165"/>
      <c r="F34" s="172"/>
      <c r="G34" s="228"/>
      <c r="H34" s="228"/>
      <c r="I34" s="4"/>
      <c r="J34" s="12"/>
      <c r="K34" s="4"/>
      <c r="L34" s="4"/>
      <c r="M34" s="4"/>
      <c r="N34" s="4"/>
      <c r="O34" s="4"/>
      <c r="P34" s="4"/>
      <c r="Q34" s="4"/>
      <c r="R34" s="4"/>
      <c r="S34" s="4"/>
      <c r="T34" s="4"/>
      <c r="U34" s="4"/>
      <c r="V34" s="4"/>
      <c r="W34" s="4"/>
    </row>
    <row r="35" spans="1:23" ht="12.75">
      <c r="A35" s="4"/>
      <c r="B35" s="12"/>
      <c r="C35" s="94"/>
      <c r="D35" s="95" t="s">
        <v>85</v>
      </c>
      <c r="E35" s="165">
        <f>SUM(BalanceSheets!E36)</f>
        <v>1600000</v>
      </c>
      <c r="F35" s="172"/>
      <c r="G35" s="228"/>
      <c r="H35" s="228"/>
      <c r="I35" s="4"/>
      <c r="J35" s="12"/>
      <c r="K35" s="4"/>
      <c r="L35" s="4"/>
      <c r="M35" s="4"/>
      <c r="N35" s="4"/>
      <c r="O35" s="4"/>
      <c r="P35" s="4"/>
      <c r="Q35" s="4"/>
      <c r="R35" s="4"/>
      <c r="S35" s="4"/>
      <c r="T35" s="4"/>
      <c r="U35" s="4"/>
      <c r="V35" s="4"/>
      <c r="W35" s="4"/>
    </row>
    <row r="36" spans="1:23" ht="12.75">
      <c r="A36" s="4"/>
      <c r="B36" s="12"/>
      <c r="C36" s="94"/>
      <c r="D36" s="95" t="s">
        <v>41</v>
      </c>
      <c r="E36" s="165">
        <f>SUM(BalanceSheets!E37)</f>
        <v>80000</v>
      </c>
      <c r="F36" s="215"/>
      <c r="G36" s="228"/>
      <c r="H36" s="229"/>
      <c r="I36" s="4"/>
      <c r="J36" s="12"/>
      <c r="K36" s="4"/>
      <c r="L36" s="4"/>
      <c r="M36" s="4"/>
      <c r="N36" s="4"/>
      <c r="O36" s="4"/>
      <c r="P36" s="4"/>
      <c r="Q36" s="4"/>
      <c r="R36" s="4"/>
      <c r="S36" s="4"/>
      <c r="T36" s="4"/>
      <c r="U36" s="4"/>
      <c r="V36" s="4"/>
      <c r="W36" s="4"/>
    </row>
    <row r="37" spans="1:23" ht="12.75">
      <c r="A37" s="4"/>
      <c r="B37" s="12"/>
      <c r="C37" s="94"/>
      <c r="D37" s="95" t="s">
        <v>42</v>
      </c>
      <c r="E37" s="167">
        <f>SUM(BalanceSheets!E38)</f>
        <v>1680000</v>
      </c>
      <c r="F37" s="172"/>
      <c r="G37" s="228"/>
      <c r="H37" s="228"/>
      <c r="I37" s="4"/>
      <c r="J37" s="12"/>
      <c r="K37" s="4"/>
      <c r="L37" s="4"/>
      <c r="M37" s="4"/>
      <c r="N37" s="4"/>
      <c r="O37" s="4"/>
      <c r="P37" s="4"/>
      <c r="Q37" s="4"/>
      <c r="R37" s="4"/>
      <c r="S37" s="4"/>
      <c r="T37" s="4"/>
      <c r="U37" s="4"/>
      <c r="V37" s="4"/>
      <c r="W37" s="4"/>
    </row>
    <row r="38" spans="1:23" ht="12.75">
      <c r="A38" s="4"/>
      <c r="B38" s="12"/>
      <c r="C38" s="94"/>
      <c r="D38" s="151" t="s">
        <v>43</v>
      </c>
      <c r="E38" s="165">
        <f>SUM(BalanceSheets!E39)</f>
        <v>1980200</v>
      </c>
      <c r="F38" s="172"/>
      <c r="G38" s="228"/>
      <c r="H38" s="228"/>
      <c r="I38" s="4"/>
      <c r="J38" s="12"/>
      <c r="K38" s="4"/>
      <c r="L38" s="4"/>
      <c r="M38" s="4"/>
      <c r="N38" s="4"/>
      <c r="O38" s="4"/>
      <c r="P38" s="4"/>
      <c r="Q38" s="4"/>
      <c r="R38" s="4"/>
      <c r="S38" s="4"/>
      <c r="T38" s="4"/>
      <c r="U38" s="4"/>
      <c r="V38" s="4"/>
      <c r="W38" s="4"/>
    </row>
    <row r="39" spans="1:23" ht="12.75">
      <c r="A39" s="4"/>
      <c r="B39" s="12"/>
      <c r="C39" s="94"/>
      <c r="D39" s="151"/>
      <c r="E39" s="165"/>
      <c r="F39" s="172"/>
      <c r="G39" s="228"/>
      <c r="H39" s="228"/>
      <c r="I39" s="4"/>
      <c r="J39" s="12"/>
      <c r="K39" s="4"/>
      <c r="L39" s="4"/>
      <c r="M39" s="4"/>
      <c r="N39" s="4"/>
      <c r="O39" s="4"/>
      <c r="P39" s="4"/>
      <c r="Q39" s="4"/>
      <c r="R39" s="4"/>
      <c r="S39" s="4"/>
      <c r="T39" s="4"/>
      <c r="U39" s="4"/>
      <c r="V39" s="4"/>
      <c r="W39" s="4"/>
    </row>
    <row r="40" spans="1:23" ht="12.75">
      <c r="A40" s="4"/>
      <c r="B40" s="12"/>
      <c r="C40" s="94"/>
      <c r="D40" s="151" t="s">
        <v>44</v>
      </c>
      <c r="E40" s="165"/>
      <c r="F40" s="172"/>
      <c r="G40" s="228"/>
      <c r="H40" s="228"/>
      <c r="I40" s="4"/>
      <c r="J40" s="12"/>
      <c r="K40" s="4"/>
      <c r="L40" s="4"/>
      <c r="M40" s="4"/>
      <c r="N40" s="4"/>
      <c r="O40" s="4"/>
      <c r="P40" s="4"/>
      <c r="Q40" s="4"/>
      <c r="R40" s="4"/>
      <c r="S40" s="4"/>
      <c r="T40" s="4"/>
      <c r="U40" s="4"/>
      <c r="V40" s="4"/>
      <c r="W40" s="4"/>
    </row>
    <row r="41" spans="1:23" ht="12.75">
      <c r="A41" s="4"/>
      <c r="B41" s="12"/>
      <c r="C41" s="94"/>
      <c r="D41" s="95" t="s">
        <v>83</v>
      </c>
      <c r="E41" s="165">
        <f>SUM(BalanceSheets!E42)</f>
        <v>1000000</v>
      </c>
      <c r="F41" s="172"/>
      <c r="G41" s="228"/>
      <c r="H41" s="228"/>
      <c r="I41" s="4"/>
      <c r="J41" s="12"/>
      <c r="K41" s="4"/>
      <c r="L41" s="4"/>
      <c r="M41" s="4"/>
      <c r="N41" s="4"/>
      <c r="O41" s="4"/>
      <c r="P41" s="4"/>
      <c r="Q41" s="4"/>
      <c r="R41" s="4"/>
      <c r="S41" s="4"/>
      <c r="T41" s="4"/>
      <c r="U41" s="4"/>
      <c r="V41" s="4"/>
      <c r="W41" s="4"/>
    </row>
    <row r="42" spans="1:23" ht="12.75">
      <c r="A42" s="4"/>
      <c r="B42" s="12"/>
      <c r="C42" s="94"/>
      <c r="D42" s="95" t="s">
        <v>45</v>
      </c>
      <c r="E42" s="165">
        <f>SUM(BalanceSheets!E43)</f>
        <v>225000</v>
      </c>
      <c r="F42" s="172"/>
      <c r="G42" s="228"/>
      <c r="H42" s="228"/>
      <c r="I42" s="4"/>
      <c r="J42" s="12"/>
      <c r="K42" s="4"/>
      <c r="L42" s="4"/>
      <c r="M42" s="4"/>
      <c r="N42" s="4"/>
      <c r="O42" s="4"/>
      <c r="P42" s="4"/>
      <c r="Q42" s="4"/>
      <c r="R42" s="4"/>
      <c r="S42" s="4"/>
      <c r="T42" s="4"/>
      <c r="U42" s="4"/>
      <c r="V42" s="4"/>
      <c r="W42" s="4"/>
    </row>
    <row r="43" spans="1:23" ht="12.75">
      <c r="A43" s="4"/>
      <c r="B43" s="12"/>
      <c r="C43" s="94"/>
      <c r="D43" s="95" t="s">
        <v>46</v>
      </c>
      <c r="E43" s="165">
        <f>SUM(BalanceSheets!E44)</f>
        <v>1211616.5</v>
      </c>
      <c r="F43" s="172"/>
      <c r="G43" s="228"/>
      <c r="H43" s="228"/>
      <c r="I43" s="4"/>
      <c r="J43" s="12"/>
      <c r="K43" s="4"/>
      <c r="L43" s="4"/>
      <c r="M43" s="4"/>
      <c r="N43" s="4"/>
      <c r="O43" s="4"/>
      <c r="P43" s="4"/>
      <c r="Q43" s="4"/>
      <c r="R43" s="4"/>
      <c r="S43" s="4"/>
      <c r="T43" s="4"/>
      <c r="U43" s="4"/>
      <c r="V43" s="4"/>
      <c r="W43" s="4"/>
    </row>
    <row r="44" spans="1:23" ht="12.75">
      <c r="A44" s="4"/>
      <c r="B44" s="12"/>
      <c r="C44" s="94"/>
      <c r="D44" s="95" t="s">
        <v>404</v>
      </c>
      <c r="E44" s="257">
        <f>SUM(BalanceSheets!E45)</f>
        <v>-100000</v>
      </c>
      <c r="F44" s="172"/>
      <c r="G44" s="228"/>
      <c r="H44" s="229"/>
      <c r="I44" s="4"/>
      <c r="J44" s="12"/>
      <c r="K44" s="4"/>
      <c r="L44" s="4"/>
      <c r="M44" s="4"/>
      <c r="N44" s="4"/>
      <c r="O44" s="4"/>
      <c r="P44" s="4"/>
      <c r="Q44" s="4"/>
      <c r="R44" s="4"/>
      <c r="S44" s="4"/>
      <c r="T44" s="4"/>
      <c r="U44" s="4"/>
      <c r="V44" s="4"/>
      <c r="W44" s="4"/>
    </row>
    <row r="45" spans="1:23" ht="12.75">
      <c r="A45" s="4"/>
      <c r="B45" s="12"/>
      <c r="C45" s="94"/>
      <c r="D45" s="95" t="s">
        <v>47</v>
      </c>
      <c r="E45" s="165">
        <f>SUM(BalanceSheets!E46)</f>
        <v>2336616.5</v>
      </c>
      <c r="F45" s="172"/>
      <c r="G45" s="228"/>
      <c r="H45" s="228"/>
      <c r="I45" s="4"/>
      <c r="J45" s="12"/>
      <c r="K45" s="4"/>
      <c r="L45" s="4"/>
      <c r="M45" s="4"/>
      <c r="N45" s="4"/>
      <c r="O45" s="4"/>
      <c r="P45" s="4"/>
      <c r="Q45" s="4"/>
      <c r="R45" s="4"/>
      <c r="S45" s="4"/>
      <c r="T45" s="4"/>
      <c r="U45" s="4"/>
      <c r="V45" s="4"/>
      <c r="W45" s="4"/>
    </row>
    <row r="46" spans="1:23" ht="13.5" thickBot="1">
      <c r="A46" s="4"/>
      <c r="B46" s="12"/>
      <c r="C46" s="94"/>
      <c r="D46" s="151" t="s">
        <v>48</v>
      </c>
      <c r="E46" s="170">
        <f>SUM(BalanceSheets!E47)</f>
        <v>4316816.5</v>
      </c>
      <c r="F46" s="229"/>
      <c r="G46" s="229"/>
      <c r="H46" s="229"/>
      <c r="I46" s="4"/>
      <c r="J46" s="12"/>
      <c r="K46" s="4"/>
      <c r="L46" s="4"/>
      <c r="M46" s="4"/>
      <c r="N46" s="4"/>
      <c r="O46" s="4"/>
      <c r="P46" s="4"/>
      <c r="Q46" s="4"/>
      <c r="R46" s="4"/>
      <c r="S46" s="4"/>
      <c r="T46" s="4"/>
      <c r="U46" s="4"/>
      <c r="V46" s="4"/>
      <c r="W46" s="4"/>
    </row>
    <row r="47" spans="1:23" ht="13.5" thickTop="1">
      <c r="A47" s="4"/>
      <c r="B47" s="12"/>
      <c r="C47" s="94"/>
      <c r="D47" s="151"/>
      <c r="E47" s="165"/>
      <c r="F47" s="229"/>
      <c r="G47" s="229"/>
      <c r="H47" s="229"/>
      <c r="I47" s="4"/>
      <c r="J47" s="12"/>
      <c r="K47" s="4"/>
      <c r="L47" s="4"/>
      <c r="M47" s="4"/>
      <c r="N47" s="4"/>
      <c r="O47" s="4"/>
      <c r="P47" s="4"/>
      <c r="Q47" s="4"/>
      <c r="R47" s="4"/>
      <c r="S47" s="4"/>
      <c r="T47" s="4"/>
      <c r="U47" s="4"/>
      <c r="V47" s="4"/>
      <c r="W47" s="4"/>
    </row>
    <row r="48" spans="1:23" ht="12.75">
      <c r="A48" s="4"/>
      <c r="B48" s="12"/>
      <c r="C48" s="94"/>
      <c r="D48" s="151"/>
      <c r="E48" s="165"/>
      <c r="F48" s="229"/>
      <c r="G48" s="229"/>
      <c r="H48" s="229"/>
      <c r="I48" s="4"/>
      <c r="J48" s="12"/>
      <c r="K48" s="4"/>
      <c r="L48" s="4"/>
      <c r="M48" s="4"/>
      <c r="N48" s="4"/>
      <c r="O48" s="4"/>
      <c r="P48" s="4"/>
      <c r="Q48" s="4"/>
      <c r="R48" s="4"/>
      <c r="S48" s="4"/>
      <c r="T48" s="4"/>
      <c r="U48" s="4"/>
      <c r="V48" s="4"/>
      <c r="W48" s="4"/>
    </row>
    <row r="49" spans="1:23" ht="12.75">
      <c r="A49" s="4"/>
      <c r="B49" s="12"/>
      <c r="C49" s="94"/>
      <c r="D49" s="510" t="s">
        <v>106</v>
      </c>
      <c r="E49" s="492"/>
      <c r="F49" s="351"/>
      <c r="G49" s="351"/>
      <c r="H49" s="229"/>
      <c r="I49" s="4"/>
      <c r="J49" s="12"/>
      <c r="K49" s="4"/>
      <c r="L49" s="4"/>
      <c r="M49" s="4"/>
      <c r="N49" s="4"/>
      <c r="O49" s="4"/>
      <c r="P49" s="4"/>
      <c r="Q49" s="4"/>
      <c r="R49" s="4"/>
      <c r="S49" s="4"/>
      <c r="T49" s="4"/>
      <c r="U49" s="4"/>
      <c r="V49" s="4"/>
      <c r="W49" s="4"/>
    </row>
    <row r="50" spans="1:23" ht="12.75">
      <c r="A50" s="4"/>
      <c r="B50" s="12"/>
      <c r="C50" s="94"/>
      <c r="D50" s="510" t="s">
        <v>232</v>
      </c>
      <c r="E50" s="492"/>
      <c r="F50" s="351"/>
      <c r="G50" s="351"/>
      <c r="H50" s="229"/>
      <c r="I50" s="4"/>
      <c r="J50" s="12"/>
      <c r="K50" s="4"/>
      <c r="L50" s="4"/>
      <c r="M50" s="4"/>
      <c r="N50" s="4"/>
      <c r="O50" s="4"/>
      <c r="P50" s="4"/>
      <c r="Q50" s="4"/>
      <c r="R50" s="4"/>
      <c r="S50" s="4"/>
      <c r="T50" s="4"/>
      <c r="U50" s="4"/>
      <c r="V50" s="4"/>
      <c r="W50" s="4"/>
    </row>
    <row r="51" spans="1:23" ht="12.75">
      <c r="A51" s="4"/>
      <c r="B51" s="12"/>
      <c r="C51" s="94"/>
      <c r="D51" s="510" t="s">
        <v>108</v>
      </c>
      <c r="E51" s="492"/>
      <c r="F51" s="351"/>
      <c r="G51" s="351"/>
      <c r="H51" s="229"/>
      <c r="I51" s="4"/>
      <c r="J51" s="12"/>
      <c r="K51" s="4"/>
      <c r="L51" s="4"/>
      <c r="M51" s="4"/>
      <c r="N51" s="4"/>
      <c r="O51" s="4"/>
      <c r="P51" s="4"/>
      <c r="Q51" s="4"/>
      <c r="R51" s="4"/>
      <c r="S51" s="4"/>
      <c r="T51" s="4"/>
      <c r="U51" s="4"/>
      <c r="V51" s="4"/>
      <c r="W51" s="4"/>
    </row>
    <row r="52" spans="1:23" ht="12.75">
      <c r="A52" s="4"/>
      <c r="B52" s="12"/>
      <c r="C52" s="94"/>
      <c r="D52" s="153"/>
      <c r="E52" s="183"/>
      <c r="F52" s="183"/>
      <c r="G52" s="183"/>
      <c r="H52" s="230"/>
      <c r="I52" s="4"/>
      <c r="J52" s="12"/>
      <c r="K52" s="4"/>
      <c r="L52" s="4"/>
      <c r="M52" s="4"/>
      <c r="N52" s="4"/>
      <c r="O52" s="4"/>
      <c r="P52" s="4"/>
      <c r="Q52" s="4"/>
      <c r="R52" s="4"/>
      <c r="S52" s="4"/>
      <c r="T52" s="4"/>
      <c r="U52" s="4"/>
      <c r="V52" s="4"/>
      <c r="W52" s="4"/>
    </row>
    <row r="53" spans="1:23" ht="12.75">
      <c r="A53" s="4"/>
      <c r="B53" s="12"/>
      <c r="C53" s="94"/>
      <c r="D53" s="233" t="s">
        <v>90</v>
      </c>
      <c r="E53" s="111">
        <f>E3</f>
        <v>3510</v>
      </c>
      <c r="F53" s="111"/>
      <c r="G53" s="111"/>
      <c r="H53" s="231"/>
      <c r="I53" s="4"/>
      <c r="J53" s="12"/>
      <c r="K53" s="4"/>
      <c r="L53" s="4"/>
      <c r="M53" s="4"/>
      <c r="N53" s="4"/>
      <c r="O53" s="4"/>
      <c r="P53" s="4"/>
      <c r="Q53" s="4"/>
      <c r="R53" s="4"/>
      <c r="S53" s="4"/>
      <c r="T53" s="4"/>
      <c r="U53" s="4"/>
      <c r="V53" s="4"/>
      <c r="W53" s="4"/>
    </row>
    <row r="54" spans="1:23" ht="12.75">
      <c r="A54" s="4"/>
      <c r="B54" s="12"/>
      <c r="C54" s="94"/>
      <c r="D54" s="233" t="s">
        <v>91</v>
      </c>
      <c r="E54" s="143">
        <f>SUM(IncomeStatements!H129)</f>
        <v>1495</v>
      </c>
      <c r="F54" s="111"/>
      <c r="G54" s="143"/>
      <c r="H54" s="231"/>
      <c r="I54" s="4"/>
      <c r="J54" s="12"/>
      <c r="K54" s="4"/>
      <c r="L54" s="4"/>
      <c r="M54" s="4"/>
      <c r="N54" s="4"/>
      <c r="O54" s="4"/>
      <c r="P54" s="4"/>
      <c r="Q54" s="4"/>
      <c r="R54" s="4"/>
      <c r="S54" s="4"/>
      <c r="T54" s="4"/>
      <c r="U54" s="4"/>
      <c r="V54" s="4"/>
      <c r="W54" s="4"/>
    </row>
    <row r="55" spans="1:23" ht="13.5" thickBot="1">
      <c r="A55" s="4"/>
      <c r="B55" s="12"/>
      <c r="C55" s="94"/>
      <c r="D55" s="235" t="s">
        <v>92</v>
      </c>
      <c r="E55" s="194">
        <f>E53*E54</f>
        <v>5247450</v>
      </c>
      <c r="F55" s="143"/>
      <c r="G55" s="143"/>
      <c r="H55" s="95"/>
      <c r="I55" s="4"/>
      <c r="J55" s="12"/>
      <c r="K55" s="4"/>
      <c r="L55" s="4"/>
      <c r="M55" s="4"/>
      <c r="N55" s="4"/>
      <c r="O55" s="4"/>
      <c r="P55" s="4"/>
      <c r="Q55" s="4"/>
      <c r="R55" s="4"/>
      <c r="S55" s="4"/>
      <c r="T55" s="4"/>
      <c r="U55" s="4"/>
      <c r="V55" s="4"/>
      <c r="W55" s="4"/>
    </row>
    <row r="56" spans="1:23" ht="13.5" thickTop="1">
      <c r="A56" s="4"/>
      <c r="B56" s="12"/>
      <c r="C56" s="94"/>
      <c r="D56" s="237"/>
      <c r="E56" s="95"/>
      <c r="F56" s="94"/>
      <c r="G56" s="94"/>
      <c r="H56" s="94"/>
      <c r="I56" s="4"/>
      <c r="J56" s="12"/>
      <c r="K56" s="4"/>
      <c r="L56" s="4"/>
      <c r="M56" s="4"/>
      <c r="N56" s="4"/>
      <c r="O56" s="4"/>
      <c r="P56" s="4"/>
      <c r="Q56" s="4"/>
      <c r="R56" s="4"/>
      <c r="S56" s="4"/>
      <c r="T56" s="4"/>
      <c r="U56" s="4"/>
      <c r="V56" s="4"/>
      <c r="W56" s="4"/>
    </row>
    <row r="57" spans="1:23" ht="12.75">
      <c r="A57" s="4"/>
      <c r="B57" s="12"/>
      <c r="C57" s="94"/>
      <c r="D57" s="510" t="s">
        <v>106</v>
      </c>
      <c r="E57" s="492"/>
      <c r="F57" s="510"/>
      <c r="G57" s="492"/>
      <c r="H57" s="354"/>
      <c r="I57" s="4"/>
      <c r="J57" s="12"/>
      <c r="K57" s="4"/>
      <c r="L57" s="4"/>
      <c r="M57" s="4"/>
      <c r="N57" s="4"/>
      <c r="O57" s="4"/>
      <c r="P57" s="4"/>
      <c r="Q57" s="4"/>
      <c r="R57" s="4"/>
      <c r="S57" s="4"/>
      <c r="T57" s="4"/>
      <c r="U57" s="4"/>
      <c r="V57" s="4"/>
      <c r="W57" s="4"/>
    </row>
    <row r="58" spans="1:23" ht="12.75">
      <c r="A58" s="4"/>
      <c r="B58" s="12"/>
      <c r="C58" s="94"/>
      <c r="D58" s="510" t="s">
        <v>337</v>
      </c>
      <c r="E58" s="492"/>
      <c r="F58" s="510"/>
      <c r="G58" s="492"/>
      <c r="H58" s="354"/>
      <c r="I58" s="4"/>
      <c r="J58" s="12"/>
      <c r="K58" s="4"/>
      <c r="L58" s="4"/>
      <c r="M58" s="4"/>
      <c r="N58" s="4"/>
      <c r="O58" s="4"/>
      <c r="P58" s="4"/>
      <c r="Q58" s="4"/>
      <c r="R58" s="4"/>
      <c r="S58" s="4"/>
      <c r="T58" s="4"/>
      <c r="U58" s="4"/>
      <c r="V58" s="4"/>
      <c r="W58" s="4"/>
    </row>
    <row r="59" spans="1:23" ht="12.75">
      <c r="A59" s="4"/>
      <c r="B59" s="12"/>
      <c r="C59" s="94"/>
      <c r="D59" s="235"/>
      <c r="E59" s="228"/>
      <c r="F59" s="95"/>
      <c r="G59" s="228"/>
      <c r="H59" s="95"/>
      <c r="I59" s="4"/>
      <c r="J59" s="12"/>
      <c r="K59" s="4"/>
      <c r="L59" s="4"/>
      <c r="M59" s="4"/>
      <c r="N59" s="4"/>
      <c r="O59" s="4"/>
      <c r="P59" s="4"/>
      <c r="Q59" s="4"/>
      <c r="R59" s="4"/>
      <c r="S59" s="4"/>
      <c r="T59" s="4"/>
      <c r="U59" s="4"/>
      <c r="V59" s="4"/>
      <c r="W59" s="4"/>
    </row>
    <row r="60" spans="1:23" ht="12.75">
      <c r="A60" s="4"/>
      <c r="B60" s="12"/>
      <c r="C60" s="94"/>
      <c r="D60" s="235" t="s">
        <v>254</v>
      </c>
      <c r="E60" s="143">
        <f>E13</f>
        <v>609960</v>
      </c>
      <c r="F60" s="95"/>
      <c r="G60" s="143"/>
      <c r="H60" s="95"/>
      <c r="I60" s="4"/>
      <c r="J60" s="12"/>
      <c r="K60" s="4"/>
      <c r="L60" s="4"/>
      <c r="M60" s="4"/>
      <c r="N60" s="4"/>
      <c r="O60" s="4"/>
      <c r="P60" s="4"/>
      <c r="Q60" s="4"/>
      <c r="R60" s="4"/>
      <c r="S60" s="4"/>
      <c r="T60" s="4"/>
      <c r="U60" s="4"/>
      <c r="V60" s="4"/>
      <c r="W60" s="4"/>
    </row>
    <row r="61" spans="1:23" ht="12.75">
      <c r="A61" s="4"/>
      <c r="B61" s="12"/>
      <c r="C61" s="94"/>
      <c r="D61" s="235" t="s">
        <v>255</v>
      </c>
      <c r="E61" s="143">
        <f>E55</f>
        <v>5247450</v>
      </c>
      <c r="F61" s="95"/>
      <c r="G61" s="143"/>
      <c r="H61" s="95"/>
      <c r="I61" s="4"/>
      <c r="J61" s="12"/>
      <c r="K61" s="4"/>
      <c r="L61" s="4"/>
      <c r="M61" s="4"/>
      <c r="N61" s="4"/>
      <c r="O61" s="4"/>
      <c r="P61" s="4"/>
      <c r="Q61" s="4"/>
      <c r="R61" s="4"/>
      <c r="S61" s="4"/>
      <c r="T61" s="4"/>
      <c r="U61" s="4"/>
      <c r="V61" s="4"/>
      <c r="W61" s="4"/>
    </row>
    <row r="62" spans="1:23" ht="12.75">
      <c r="A62" s="4"/>
      <c r="B62" s="12"/>
      <c r="C62" s="94"/>
      <c r="D62" s="235" t="s">
        <v>256</v>
      </c>
      <c r="E62" s="228">
        <f>E61*0.12</f>
        <v>629694</v>
      </c>
      <c r="F62" s="95"/>
      <c r="G62" s="143"/>
      <c r="H62" s="95"/>
      <c r="I62" s="4"/>
      <c r="J62" s="12"/>
      <c r="K62" s="4"/>
      <c r="L62" s="4"/>
      <c r="M62" s="4"/>
      <c r="N62" s="4"/>
      <c r="O62" s="4"/>
      <c r="P62" s="4"/>
      <c r="Q62" s="4"/>
      <c r="R62" s="4"/>
      <c r="S62" s="4"/>
      <c r="T62" s="4"/>
      <c r="U62" s="4"/>
      <c r="V62" s="4"/>
      <c r="W62" s="4"/>
    </row>
    <row r="63" spans="1:23" ht="13.5" thickBot="1">
      <c r="A63" s="4"/>
      <c r="B63" s="12"/>
      <c r="C63" s="94"/>
      <c r="D63" s="235" t="s">
        <v>257</v>
      </c>
      <c r="E63" s="194">
        <f>E60+E61-E62</f>
        <v>5227716</v>
      </c>
      <c r="F63" s="95"/>
      <c r="G63" s="143"/>
      <c r="H63" s="95"/>
      <c r="I63" s="4"/>
      <c r="J63" s="12"/>
      <c r="K63" s="4"/>
      <c r="L63" s="4"/>
      <c r="M63" s="4"/>
      <c r="N63" s="4"/>
      <c r="O63" s="4"/>
      <c r="P63" s="4"/>
      <c r="Q63" s="4"/>
      <c r="R63" s="4"/>
      <c r="S63" s="4"/>
      <c r="T63" s="4"/>
      <c r="U63" s="4"/>
      <c r="V63" s="4"/>
      <c r="W63" s="4"/>
    </row>
    <row r="64" spans="1:23" ht="13.5" thickTop="1">
      <c r="A64" s="4"/>
      <c r="B64" s="12"/>
      <c r="C64" s="94"/>
      <c r="D64" s="237"/>
      <c r="E64" s="386"/>
      <c r="F64" s="351"/>
      <c r="G64" s="351"/>
      <c r="H64" s="351"/>
      <c r="I64" s="4"/>
      <c r="J64" s="12"/>
      <c r="K64" s="4"/>
      <c r="L64" s="4"/>
      <c r="M64" s="4"/>
      <c r="N64" s="4"/>
      <c r="O64" s="4"/>
      <c r="P64" s="4"/>
      <c r="Q64" s="4"/>
      <c r="R64" s="4"/>
      <c r="S64" s="4"/>
      <c r="T64" s="4"/>
      <c r="U64" s="4"/>
      <c r="V64" s="4"/>
      <c r="W64" s="4"/>
    </row>
    <row r="65" spans="1:23" ht="12.75">
      <c r="A65" s="4"/>
      <c r="B65" s="12"/>
      <c r="C65" s="94"/>
      <c r="D65" s="510" t="s">
        <v>106</v>
      </c>
      <c r="E65" s="492"/>
      <c r="F65" s="351"/>
      <c r="G65" s="351"/>
      <c r="H65" s="351"/>
      <c r="I65" s="4"/>
      <c r="J65" s="12"/>
      <c r="K65" s="4"/>
      <c r="L65" s="4"/>
      <c r="M65" s="4"/>
      <c r="N65" s="4"/>
      <c r="O65" s="4"/>
      <c r="P65" s="4"/>
      <c r="Q65" s="4"/>
      <c r="R65" s="4"/>
      <c r="S65" s="4"/>
      <c r="T65" s="4"/>
      <c r="U65" s="4"/>
      <c r="V65" s="4"/>
      <c r="W65" s="4"/>
    </row>
    <row r="66" spans="1:23" ht="12.75">
      <c r="A66" s="4"/>
      <c r="B66" s="12"/>
      <c r="C66" s="94"/>
      <c r="D66" s="510" t="s">
        <v>107</v>
      </c>
      <c r="E66" s="492"/>
      <c r="F66" s="94"/>
      <c r="G66" s="240"/>
      <c r="H66" s="240"/>
      <c r="I66" s="4"/>
      <c r="J66" s="12"/>
      <c r="K66" s="4"/>
      <c r="L66" s="4"/>
      <c r="M66" s="4"/>
      <c r="N66" s="4"/>
      <c r="O66" s="4"/>
      <c r="P66" s="4"/>
      <c r="Q66" s="4"/>
      <c r="R66" s="4"/>
      <c r="S66" s="4"/>
      <c r="T66" s="4"/>
      <c r="U66" s="4"/>
      <c r="V66" s="4"/>
      <c r="W66" s="4"/>
    </row>
    <row r="67" spans="1:23" ht="12.75">
      <c r="A67" s="4"/>
      <c r="B67" s="12"/>
      <c r="C67" s="94"/>
      <c r="D67" s="510" t="s">
        <v>108</v>
      </c>
      <c r="E67" s="492"/>
      <c r="F67" s="94"/>
      <c r="G67" s="94"/>
      <c r="H67" s="94"/>
      <c r="I67" s="4"/>
      <c r="J67" s="12"/>
      <c r="K67" s="4"/>
      <c r="L67" s="4"/>
      <c r="M67" s="4"/>
      <c r="N67" s="4"/>
      <c r="O67" s="4"/>
      <c r="P67" s="4"/>
      <c r="Q67" s="4"/>
      <c r="R67" s="4"/>
      <c r="S67" s="4"/>
      <c r="T67" s="4"/>
      <c r="U67" s="4"/>
      <c r="V67" s="4"/>
      <c r="W67" s="4"/>
    </row>
    <row r="68" spans="1:23" ht="12.75">
      <c r="A68" s="4">
        <v>69</v>
      </c>
      <c r="B68" s="12"/>
      <c r="C68" s="94"/>
      <c r="D68" s="94"/>
      <c r="E68" s="384"/>
      <c r="F68" s="355"/>
      <c r="G68" s="349"/>
      <c r="H68" s="94"/>
      <c r="I68" s="4"/>
      <c r="J68" s="12"/>
      <c r="K68" s="4"/>
      <c r="L68" s="4"/>
      <c r="M68" s="4"/>
      <c r="N68" s="4"/>
      <c r="O68" s="4"/>
      <c r="P68" s="4"/>
      <c r="Q68" s="4"/>
      <c r="R68" s="4"/>
      <c r="S68" s="4"/>
      <c r="T68" s="4"/>
      <c r="U68" s="4"/>
      <c r="V68" s="4"/>
      <c r="W68" s="4"/>
    </row>
    <row r="69" spans="1:23" ht="12.75">
      <c r="A69" s="4">
        <v>70</v>
      </c>
      <c r="B69" s="12"/>
      <c r="C69" s="94"/>
      <c r="D69" s="233" t="s">
        <v>93</v>
      </c>
      <c r="E69" s="111">
        <f>E53</f>
        <v>3510</v>
      </c>
      <c r="F69" s="111"/>
      <c r="G69" s="231"/>
      <c r="H69" s="241"/>
      <c r="I69" s="4"/>
      <c r="J69" s="12"/>
      <c r="K69" s="4"/>
      <c r="L69" s="4"/>
      <c r="M69" s="4"/>
      <c r="N69" s="4"/>
      <c r="O69" s="4"/>
      <c r="P69" s="4"/>
      <c r="Q69" s="4"/>
      <c r="R69" s="4"/>
      <c r="S69" s="4"/>
      <c r="T69" s="4"/>
      <c r="U69" s="4"/>
      <c r="V69" s="4"/>
      <c r="W69" s="4"/>
    </row>
    <row r="70" spans="1:23" ht="12.75">
      <c r="A70" s="4">
        <v>71</v>
      </c>
      <c r="B70" s="12"/>
      <c r="C70" s="94"/>
      <c r="D70" s="233" t="s">
        <v>94</v>
      </c>
      <c r="E70" s="184" t="s">
        <v>338</v>
      </c>
      <c r="F70" s="111"/>
      <c r="G70" s="143"/>
      <c r="H70" s="94"/>
      <c r="I70" s="4"/>
      <c r="J70" s="12"/>
      <c r="K70" s="4"/>
      <c r="L70" s="4"/>
      <c r="M70" s="4"/>
      <c r="N70" s="4"/>
      <c r="O70" s="4"/>
      <c r="P70" s="4"/>
      <c r="Q70" s="4"/>
      <c r="R70" s="4"/>
      <c r="S70" s="4"/>
      <c r="T70" s="4"/>
      <c r="U70" s="4"/>
      <c r="V70" s="4"/>
      <c r="W70" s="4"/>
    </row>
    <row r="71" spans="1:23" ht="12.75">
      <c r="A71" s="4">
        <v>72</v>
      </c>
      <c r="B71" s="12"/>
      <c r="C71" s="94"/>
      <c r="D71" s="233" t="s">
        <v>95</v>
      </c>
      <c r="E71" s="184" t="s">
        <v>338</v>
      </c>
      <c r="F71" s="111"/>
      <c r="G71" s="143"/>
      <c r="H71" s="94"/>
      <c r="I71" s="4"/>
      <c r="J71" s="12"/>
      <c r="K71" s="4"/>
      <c r="L71" s="4"/>
      <c r="M71" s="4"/>
      <c r="N71" s="4"/>
      <c r="O71" s="4"/>
      <c r="P71" s="4"/>
      <c r="Q71" s="4"/>
      <c r="R71" s="4"/>
      <c r="S71" s="4"/>
      <c r="T71" s="4"/>
      <c r="U71" s="4"/>
      <c r="V71" s="4"/>
      <c r="W71" s="4"/>
    </row>
    <row r="72" spans="1:23" ht="13.5" thickBot="1">
      <c r="A72" s="4">
        <v>73</v>
      </c>
      <c r="B72" s="12"/>
      <c r="C72" s="94"/>
      <c r="D72" s="235" t="s">
        <v>96</v>
      </c>
      <c r="E72" s="194">
        <f>E69</f>
        <v>3510</v>
      </c>
      <c r="F72" s="143"/>
      <c r="G72" s="143"/>
      <c r="H72" s="95"/>
      <c r="I72" s="4"/>
      <c r="J72" s="12"/>
      <c r="K72" s="4"/>
      <c r="L72" s="4"/>
      <c r="M72" s="4"/>
      <c r="N72" s="4"/>
      <c r="O72" s="4"/>
      <c r="P72" s="4"/>
      <c r="Q72" s="4"/>
      <c r="R72" s="4"/>
      <c r="S72" s="4"/>
      <c r="T72" s="4"/>
      <c r="U72" s="4"/>
      <c r="V72" s="4"/>
      <c r="W72" s="4"/>
    </row>
    <row r="73" spans="1:23" ht="13.5" thickTop="1">
      <c r="A73" s="4">
        <v>74</v>
      </c>
      <c r="B73" s="12"/>
      <c r="C73" s="94"/>
      <c r="D73" s="94"/>
      <c r="E73" s="95"/>
      <c r="F73" s="95"/>
      <c r="G73" s="95"/>
      <c r="H73" s="95"/>
      <c r="I73" s="4"/>
      <c r="J73" s="12"/>
      <c r="K73" s="4"/>
      <c r="L73" s="4"/>
      <c r="M73" s="4"/>
      <c r="N73" s="4"/>
      <c r="O73" s="4"/>
      <c r="P73" s="4"/>
      <c r="Q73" s="4"/>
      <c r="R73" s="4"/>
      <c r="S73" s="4"/>
      <c r="T73" s="4"/>
      <c r="U73" s="4"/>
      <c r="V73" s="4"/>
      <c r="W73" s="4"/>
    </row>
    <row r="74" spans="1:23" ht="12.75">
      <c r="A74" s="4">
        <v>75</v>
      </c>
      <c r="B74" s="12"/>
      <c r="C74" s="94"/>
      <c r="D74" s="94"/>
      <c r="E74" s="95"/>
      <c r="F74" s="95"/>
      <c r="G74" s="95"/>
      <c r="H74" s="95"/>
      <c r="I74" s="4"/>
      <c r="J74" s="12"/>
      <c r="K74" s="4"/>
      <c r="L74" s="4"/>
      <c r="M74" s="4"/>
      <c r="N74" s="4"/>
      <c r="O74" s="4"/>
      <c r="P74" s="4"/>
      <c r="Q74" s="4"/>
      <c r="R74" s="4"/>
      <c r="S74" s="4"/>
      <c r="T74" s="4"/>
      <c r="U74" s="4"/>
      <c r="V74" s="4"/>
      <c r="W74" s="4"/>
    </row>
    <row r="75" spans="1:23" ht="12.75">
      <c r="A75" s="4">
        <v>76</v>
      </c>
      <c r="B75" s="12"/>
      <c r="C75" s="94"/>
      <c r="D75" s="510" t="s">
        <v>106</v>
      </c>
      <c r="E75" s="492"/>
      <c r="F75" s="95"/>
      <c r="G75" s="95"/>
      <c r="H75" s="95"/>
      <c r="I75" s="4"/>
      <c r="J75" s="12"/>
      <c r="K75" s="4"/>
      <c r="L75" s="4"/>
      <c r="M75" s="4"/>
      <c r="N75" s="4"/>
      <c r="O75" s="4"/>
      <c r="P75" s="4"/>
      <c r="Q75" s="4"/>
      <c r="R75" s="4"/>
      <c r="S75" s="4"/>
      <c r="T75" s="4"/>
      <c r="U75" s="4"/>
      <c r="V75" s="4"/>
      <c r="W75" s="4"/>
    </row>
    <row r="76" spans="1:23" ht="12.75">
      <c r="A76" s="4">
        <v>77</v>
      </c>
      <c r="B76" s="12"/>
      <c r="C76" s="94"/>
      <c r="D76" s="510" t="s">
        <v>145</v>
      </c>
      <c r="E76" s="510"/>
      <c r="F76" s="351"/>
      <c r="G76" s="351"/>
      <c r="H76" s="351"/>
      <c r="I76" s="4"/>
      <c r="J76" s="12"/>
      <c r="K76" s="4"/>
      <c r="L76" s="4"/>
      <c r="M76" s="4"/>
      <c r="N76" s="4"/>
      <c r="O76" s="4"/>
      <c r="P76" s="4"/>
      <c r="Q76" s="4"/>
      <c r="R76" s="4"/>
      <c r="S76" s="4"/>
      <c r="T76" s="4"/>
      <c r="U76" s="4"/>
      <c r="V76" s="4"/>
      <c r="W76" s="4"/>
    </row>
    <row r="77" spans="1:23" ht="12.75">
      <c r="A77" s="4">
        <v>78</v>
      </c>
      <c r="B77" s="12"/>
      <c r="C77" s="94"/>
      <c r="D77" s="510" t="s">
        <v>108</v>
      </c>
      <c r="E77" s="510"/>
      <c r="F77" s="351"/>
      <c r="G77" s="351"/>
      <c r="H77" s="351"/>
      <c r="I77" s="4"/>
      <c r="J77" s="12"/>
      <c r="K77" s="4"/>
      <c r="L77" s="4"/>
      <c r="M77" s="4"/>
      <c r="N77" s="4"/>
      <c r="O77" s="4"/>
      <c r="P77" s="4"/>
      <c r="Q77" s="4"/>
      <c r="R77" s="4"/>
      <c r="S77" s="4"/>
      <c r="T77" s="4"/>
      <c r="U77" s="4"/>
      <c r="V77" s="4"/>
      <c r="W77" s="4"/>
    </row>
    <row r="78" spans="1:23" ht="12.75">
      <c r="A78" s="4">
        <v>79</v>
      </c>
      <c r="B78" s="12"/>
      <c r="C78" s="94"/>
      <c r="D78" s="354"/>
      <c r="E78" s="354"/>
      <c r="F78" s="351"/>
      <c r="G78" s="351"/>
      <c r="H78" s="351"/>
      <c r="I78" s="4"/>
      <c r="J78" s="12"/>
      <c r="K78" s="4"/>
      <c r="L78" s="4"/>
      <c r="M78" s="4"/>
      <c r="N78" s="4"/>
      <c r="O78" s="4"/>
      <c r="P78" s="4"/>
      <c r="Q78" s="4"/>
      <c r="R78" s="4"/>
      <c r="S78" s="4"/>
      <c r="T78" s="4"/>
      <c r="U78" s="4"/>
      <c r="V78" s="4"/>
      <c r="W78" s="4"/>
    </row>
    <row r="79" spans="1:23" ht="12.75">
      <c r="A79" s="4">
        <v>80</v>
      </c>
      <c r="B79" s="12"/>
      <c r="C79" s="94"/>
      <c r="D79" s="94"/>
      <c r="E79" s="348" t="s">
        <v>207</v>
      </c>
      <c r="F79" s="183"/>
      <c r="G79" s="230"/>
      <c r="H79" s="230"/>
      <c r="I79" s="4"/>
      <c r="J79" s="12"/>
      <c r="K79" s="4"/>
      <c r="L79" s="4"/>
      <c r="M79" s="4"/>
      <c r="N79" s="4"/>
      <c r="O79" s="4"/>
      <c r="P79" s="4"/>
      <c r="Q79" s="4"/>
      <c r="R79" s="4"/>
      <c r="S79" s="4"/>
      <c r="T79" s="4"/>
      <c r="U79" s="4"/>
      <c r="V79" s="4"/>
      <c r="W79" s="4"/>
    </row>
    <row r="80" spans="1:23" ht="12.75">
      <c r="A80" s="4">
        <v>81</v>
      </c>
      <c r="B80" s="12"/>
      <c r="C80" s="94"/>
      <c r="D80" s="94"/>
      <c r="E80" s="94"/>
      <c r="F80" s="94"/>
      <c r="G80" s="95"/>
      <c r="H80" s="95"/>
      <c r="I80" s="4"/>
      <c r="J80" s="12"/>
      <c r="K80" s="4"/>
      <c r="L80" s="4"/>
      <c r="M80" s="4"/>
      <c r="N80" s="4"/>
      <c r="O80" s="4"/>
      <c r="P80" s="4"/>
      <c r="Q80" s="4"/>
      <c r="R80" s="4"/>
      <c r="S80" s="4"/>
      <c r="T80" s="4"/>
      <c r="U80" s="4"/>
      <c r="V80" s="4"/>
      <c r="W80" s="4"/>
    </row>
    <row r="81" spans="1:23" ht="12.75">
      <c r="A81" s="4">
        <v>82</v>
      </c>
      <c r="B81" s="12"/>
      <c r="C81" s="94"/>
      <c r="D81" s="233" t="s">
        <v>223</v>
      </c>
      <c r="E81" s="143">
        <f>E3</f>
        <v>3510</v>
      </c>
      <c r="F81" s="94"/>
      <c r="G81" s="95"/>
      <c r="H81" s="231"/>
      <c r="I81" s="4"/>
      <c r="J81" s="12"/>
      <c r="K81" s="4"/>
      <c r="L81" s="4"/>
      <c r="M81" s="4"/>
      <c r="N81" s="4"/>
      <c r="O81" s="4"/>
      <c r="P81" s="4"/>
      <c r="Q81" s="4"/>
      <c r="R81" s="4"/>
      <c r="S81" s="4"/>
      <c r="T81" s="4"/>
      <c r="U81" s="4"/>
      <c r="V81" s="4"/>
      <c r="W81" s="4"/>
    </row>
    <row r="82" spans="1:23" ht="12.75">
      <c r="A82" s="4">
        <v>83</v>
      </c>
      <c r="B82" s="12"/>
      <c r="C82" s="94"/>
      <c r="D82" s="233" t="s">
        <v>224</v>
      </c>
      <c r="E82" s="95">
        <f>ROUND(E3*0.04,0)</f>
        <v>140</v>
      </c>
      <c r="F82" s="94"/>
      <c r="G82" s="95"/>
      <c r="H82" s="95"/>
      <c r="I82" s="4"/>
      <c r="J82" s="12"/>
      <c r="K82" s="4"/>
      <c r="L82" s="4"/>
      <c r="M82" s="4"/>
      <c r="N82" s="4"/>
      <c r="O82" s="4"/>
      <c r="P82" s="4"/>
      <c r="Q82" s="4"/>
      <c r="R82" s="4"/>
      <c r="S82" s="4"/>
      <c r="T82" s="4"/>
      <c r="U82" s="4"/>
      <c r="V82" s="4"/>
      <c r="W82" s="4"/>
    </row>
    <row r="83" spans="1:23" ht="12.75">
      <c r="A83" s="4">
        <v>84</v>
      </c>
      <c r="B83" s="12"/>
      <c r="C83" s="94"/>
      <c r="D83" s="233" t="s">
        <v>225</v>
      </c>
      <c r="E83" s="150">
        <v>140</v>
      </c>
      <c r="F83" s="95"/>
      <c r="G83" s="95"/>
      <c r="H83" s="95"/>
      <c r="I83" s="4"/>
      <c r="J83" s="12"/>
      <c r="K83" s="4"/>
      <c r="L83" s="4"/>
      <c r="M83" s="7"/>
      <c r="N83" s="4"/>
      <c r="O83" s="4"/>
      <c r="P83" s="4"/>
      <c r="Q83" s="4"/>
      <c r="R83" s="4"/>
      <c r="S83" s="4"/>
      <c r="T83" s="4"/>
      <c r="U83" s="4"/>
      <c r="V83" s="4"/>
      <c r="W83" s="4"/>
    </row>
    <row r="84" spans="1:23" ht="12.75">
      <c r="A84" s="4">
        <v>85</v>
      </c>
      <c r="B84" s="12"/>
      <c r="C84" s="94"/>
      <c r="D84" s="233" t="s">
        <v>226</v>
      </c>
      <c r="E84" s="143">
        <f>E81+E82-E83</f>
        <v>3510</v>
      </c>
      <c r="F84" s="95"/>
      <c r="G84" s="95"/>
      <c r="H84" s="231"/>
      <c r="I84" s="4"/>
      <c r="J84" s="12"/>
      <c r="K84" s="4"/>
      <c r="L84" s="4"/>
      <c r="M84" s="4"/>
      <c r="N84" s="4"/>
      <c r="O84" s="4"/>
      <c r="P84" s="4"/>
      <c r="Q84" s="4"/>
      <c r="R84" s="4"/>
      <c r="S84" s="4"/>
      <c r="T84" s="4"/>
      <c r="U84" s="4"/>
      <c r="V84" s="4"/>
      <c r="W84" s="4"/>
    </row>
    <row r="85" spans="1:23" ht="12.75">
      <c r="A85" s="4">
        <v>86</v>
      </c>
      <c r="B85" s="12"/>
      <c r="C85" s="94"/>
      <c r="D85" s="233" t="s">
        <v>97</v>
      </c>
      <c r="E85" s="95">
        <v>275</v>
      </c>
      <c r="F85" s="94"/>
      <c r="G85" s="95"/>
      <c r="H85" s="243"/>
      <c r="I85" s="4"/>
      <c r="J85" s="12"/>
      <c r="K85" s="4"/>
      <c r="L85" s="4"/>
      <c r="M85" s="4"/>
      <c r="N85" s="4"/>
      <c r="O85" s="4"/>
      <c r="P85" s="4"/>
      <c r="Q85" s="4"/>
      <c r="R85" s="4"/>
      <c r="S85" s="4"/>
      <c r="T85" s="4"/>
      <c r="U85" s="4"/>
      <c r="V85" s="4"/>
      <c r="W85" s="4"/>
    </row>
    <row r="86" spans="1:23" ht="13.5" thickBot="1">
      <c r="A86" s="4">
        <v>87</v>
      </c>
      <c r="B86" s="12"/>
      <c r="C86" s="94"/>
      <c r="D86" s="235" t="s">
        <v>98</v>
      </c>
      <c r="E86" s="405">
        <f>E84*E85</f>
        <v>965250</v>
      </c>
      <c r="F86" s="95"/>
      <c r="G86" s="228"/>
      <c r="H86" s="95"/>
      <c r="I86" s="4"/>
      <c r="J86" s="12"/>
      <c r="K86" s="4"/>
      <c r="L86" s="4"/>
      <c r="M86" s="4"/>
      <c r="N86" s="4"/>
      <c r="O86" s="4"/>
      <c r="P86" s="4"/>
      <c r="Q86" s="4"/>
      <c r="R86" s="4"/>
      <c r="S86" s="4"/>
      <c r="T86" s="4"/>
      <c r="U86" s="4"/>
      <c r="V86" s="4"/>
      <c r="W86" s="4"/>
    </row>
    <row r="87" spans="1:23" ht="13.5" thickTop="1">
      <c r="A87" s="4">
        <v>88</v>
      </c>
      <c r="B87" s="12"/>
      <c r="C87" s="94"/>
      <c r="D87" s="235"/>
      <c r="E87" s="228"/>
      <c r="F87" s="95"/>
      <c r="G87" s="228"/>
      <c r="H87" s="95"/>
      <c r="I87" s="4"/>
      <c r="J87" s="12"/>
      <c r="K87" s="4"/>
      <c r="L87" s="4"/>
      <c r="M87" s="4"/>
      <c r="N87" s="4"/>
      <c r="O87" s="4"/>
      <c r="P87" s="4"/>
      <c r="Q87" s="4"/>
      <c r="R87" s="4"/>
      <c r="S87" s="4"/>
      <c r="T87" s="4"/>
      <c r="U87" s="4"/>
      <c r="V87" s="4"/>
      <c r="W87" s="4"/>
    </row>
    <row r="88" spans="1:23" ht="12.75">
      <c r="A88" s="4">
        <v>89</v>
      </c>
      <c r="B88" s="12"/>
      <c r="C88" s="94"/>
      <c r="D88" s="510" t="s">
        <v>106</v>
      </c>
      <c r="E88" s="492"/>
      <c r="F88" s="95"/>
      <c r="G88" s="228"/>
      <c r="H88" s="95"/>
      <c r="I88" s="4"/>
      <c r="J88" s="12"/>
      <c r="K88" s="4"/>
      <c r="L88" s="4"/>
      <c r="M88" s="4"/>
      <c r="N88" s="4"/>
      <c r="O88" s="4"/>
      <c r="P88" s="4"/>
      <c r="Q88" s="4"/>
      <c r="R88" s="4"/>
      <c r="S88" s="4"/>
      <c r="T88" s="4"/>
      <c r="U88" s="4"/>
      <c r="V88" s="4"/>
      <c r="W88" s="4"/>
    </row>
    <row r="89" spans="1:23" ht="12.75">
      <c r="A89" s="4">
        <v>90</v>
      </c>
      <c r="B89" s="12"/>
      <c r="C89" s="94"/>
      <c r="D89" s="510" t="s">
        <v>340</v>
      </c>
      <c r="E89" s="510"/>
      <c r="F89" s="95"/>
      <c r="G89" s="228"/>
      <c r="H89" s="95"/>
      <c r="I89" s="4"/>
      <c r="J89" s="12"/>
      <c r="K89" s="4"/>
      <c r="L89" s="4"/>
      <c r="M89" s="4"/>
      <c r="N89" s="4"/>
      <c r="O89" s="4"/>
      <c r="P89" s="4"/>
      <c r="Q89" s="4"/>
      <c r="R89" s="4"/>
      <c r="S89" s="4"/>
      <c r="T89" s="4"/>
      <c r="U89" s="4"/>
      <c r="V89" s="4"/>
      <c r="W89" s="4"/>
    </row>
    <row r="90" spans="1:23" ht="12.75">
      <c r="A90" s="4">
        <v>91</v>
      </c>
      <c r="B90" s="12"/>
      <c r="C90" s="94"/>
      <c r="D90" s="510" t="s">
        <v>108</v>
      </c>
      <c r="E90" s="510"/>
      <c r="F90" s="95"/>
      <c r="G90" s="228"/>
      <c r="H90" s="95"/>
      <c r="I90" s="4"/>
      <c r="J90" s="12"/>
      <c r="K90" s="4"/>
      <c r="L90" s="4"/>
      <c r="M90" s="4"/>
      <c r="N90" s="4"/>
      <c r="O90" s="4"/>
      <c r="P90" s="4"/>
      <c r="Q90" s="4"/>
      <c r="R90" s="4"/>
      <c r="S90" s="4"/>
      <c r="T90" s="4"/>
      <c r="U90" s="4"/>
      <c r="V90" s="4"/>
      <c r="W90" s="4"/>
    </row>
    <row r="91" spans="1:23" ht="12.75">
      <c r="A91" s="4">
        <v>92</v>
      </c>
      <c r="B91" s="12"/>
      <c r="C91" s="94"/>
      <c r="D91" s="354"/>
      <c r="E91" s="233"/>
      <c r="F91" s="233"/>
      <c r="G91" s="233"/>
      <c r="H91" s="233"/>
      <c r="I91" s="4"/>
      <c r="J91" s="12"/>
      <c r="K91" s="4"/>
      <c r="L91" s="4"/>
      <c r="M91" s="4"/>
      <c r="N91" s="4"/>
      <c r="O91" s="4"/>
      <c r="P91" s="4"/>
      <c r="Q91" s="4"/>
      <c r="R91" s="4"/>
      <c r="S91" s="4"/>
      <c r="T91" s="4"/>
      <c r="U91" s="4"/>
      <c r="V91" s="4"/>
      <c r="W91" s="4"/>
    </row>
    <row r="92" spans="1:23" ht="12.75">
      <c r="A92" s="4">
        <v>95</v>
      </c>
      <c r="B92" s="12"/>
      <c r="C92" s="94"/>
      <c r="D92" s="233" t="s">
        <v>223</v>
      </c>
      <c r="E92" s="111">
        <f>E3</f>
        <v>3510</v>
      </c>
      <c r="F92" s="111"/>
      <c r="G92" s="143"/>
      <c r="H92" s="95"/>
      <c r="I92" s="4"/>
      <c r="J92" s="12"/>
      <c r="K92" s="4"/>
      <c r="L92" s="4"/>
      <c r="M92" s="4"/>
      <c r="N92" s="4"/>
      <c r="O92" s="4"/>
      <c r="P92" s="4"/>
      <c r="Q92" s="4"/>
      <c r="R92" s="4"/>
      <c r="S92" s="4"/>
      <c r="T92" s="4"/>
      <c r="U92" s="4"/>
      <c r="V92" s="4"/>
      <c r="W92" s="4"/>
    </row>
    <row r="93" spans="1:23" ht="12.75">
      <c r="A93" s="4">
        <v>96</v>
      </c>
      <c r="B93" s="12"/>
      <c r="C93" s="94"/>
      <c r="D93" s="233" t="s">
        <v>396</v>
      </c>
      <c r="E93" s="182">
        <v>42</v>
      </c>
      <c r="F93" s="111"/>
      <c r="G93" s="143"/>
      <c r="H93" s="232"/>
      <c r="I93" s="4"/>
      <c r="J93" s="12"/>
      <c r="K93" s="4"/>
      <c r="L93" s="4"/>
      <c r="M93" s="4"/>
      <c r="N93" s="4"/>
      <c r="O93" s="4"/>
      <c r="P93" s="4"/>
      <c r="Q93" s="4"/>
      <c r="R93" s="4"/>
      <c r="S93" s="4"/>
      <c r="T93" s="4"/>
      <c r="U93" s="4"/>
      <c r="V93" s="4"/>
      <c r="W93" s="4"/>
    </row>
    <row r="94" spans="1:23" ht="12.75">
      <c r="A94" s="4">
        <v>97</v>
      </c>
      <c r="B94" s="12"/>
      <c r="C94" s="94"/>
      <c r="D94" s="233" t="s">
        <v>245</v>
      </c>
      <c r="E94" s="143">
        <f>E92*E93</f>
        <v>147420</v>
      </c>
      <c r="F94" s="111"/>
      <c r="G94" s="143"/>
      <c r="H94" s="232"/>
      <c r="I94" s="4"/>
      <c r="J94" s="12"/>
      <c r="K94" s="4"/>
      <c r="L94" s="4"/>
      <c r="M94" s="4"/>
      <c r="N94" s="4"/>
      <c r="O94" s="4"/>
      <c r="P94" s="4"/>
      <c r="Q94" s="4"/>
      <c r="R94" s="4"/>
      <c r="S94" s="4"/>
      <c r="T94" s="4"/>
      <c r="U94" s="4"/>
      <c r="V94" s="4"/>
      <c r="W94" s="4"/>
    </row>
    <row r="95" spans="1:23" ht="12.75">
      <c r="A95" s="4">
        <v>98</v>
      </c>
      <c r="B95" s="12"/>
      <c r="C95" s="94"/>
      <c r="D95" s="233" t="s">
        <v>227</v>
      </c>
      <c r="E95" s="143">
        <f>E3*0.04*42</f>
        <v>5896.8</v>
      </c>
      <c r="F95" s="143"/>
      <c r="G95" s="143"/>
      <c r="H95" s="232"/>
      <c r="I95" s="4"/>
      <c r="J95" s="12"/>
      <c r="K95" s="4"/>
      <c r="L95" s="4"/>
      <c r="M95" s="4"/>
      <c r="N95" s="4"/>
      <c r="O95" s="4"/>
      <c r="P95" s="4"/>
      <c r="Q95" s="4"/>
      <c r="R95" s="4"/>
      <c r="S95" s="4"/>
      <c r="T95" s="4"/>
      <c r="U95" s="4"/>
      <c r="V95" s="4"/>
      <c r="W95" s="4"/>
    </row>
    <row r="96" spans="1:23" ht="12.75">
      <c r="A96" s="4">
        <v>99</v>
      </c>
      <c r="B96" s="12"/>
      <c r="C96" s="94"/>
      <c r="D96" s="233" t="s">
        <v>95</v>
      </c>
      <c r="E96" s="182">
        <v>5897</v>
      </c>
      <c r="F96" s="111"/>
      <c r="G96" s="143"/>
      <c r="H96" s="232"/>
      <c r="I96" s="4"/>
      <c r="J96" s="12"/>
      <c r="K96" s="4"/>
      <c r="L96" s="4"/>
      <c r="M96" s="4"/>
      <c r="N96" s="4"/>
      <c r="O96" s="4"/>
      <c r="P96" s="4"/>
      <c r="Q96" s="4"/>
      <c r="R96" s="4"/>
      <c r="S96" s="4"/>
      <c r="T96" s="4"/>
      <c r="U96" s="4"/>
      <c r="V96" s="4"/>
      <c r="W96" s="4"/>
    </row>
    <row r="97" spans="1:23" ht="12.75">
      <c r="A97" s="4">
        <v>100</v>
      </c>
      <c r="B97" s="12"/>
      <c r="C97" s="94"/>
      <c r="D97" s="233" t="s">
        <v>341</v>
      </c>
      <c r="E97" s="111">
        <f>E94+E95-E96</f>
        <v>147419.8</v>
      </c>
      <c r="F97" s="111"/>
      <c r="G97" s="143"/>
      <c r="H97" s="232"/>
      <c r="I97" s="4"/>
      <c r="J97" s="12"/>
      <c r="K97" s="4"/>
      <c r="L97" s="4"/>
      <c r="M97" s="4"/>
      <c r="N97" s="4"/>
      <c r="O97" s="4"/>
      <c r="P97" s="4"/>
      <c r="Q97" s="4"/>
      <c r="R97" s="4"/>
      <c r="S97" s="4"/>
      <c r="T97" s="4"/>
      <c r="U97" s="4"/>
      <c r="V97" s="4"/>
      <c r="W97" s="4"/>
    </row>
    <row r="98" spans="1:23" ht="12.75">
      <c r="A98" s="4">
        <v>101</v>
      </c>
      <c r="B98" s="12"/>
      <c r="C98" s="94"/>
      <c r="D98" s="233" t="s">
        <v>97</v>
      </c>
      <c r="E98" s="403">
        <v>9</v>
      </c>
      <c r="F98" s="143"/>
      <c r="G98" s="143"/>
      <c r="H98" s="228"/>
      <c r="I98" s="4"/>
      <c r="J98" s="12"/>
      <c r="K98" s="4"/>
      <c r="L98" s="4"/>
      <c r="M98" s="4"/>
      <c r="N98" s="4"/>
      <c r="O98" s="4"/>
      <c r="P98" s="4"/>
      <c r="Q98" s="4"/>
      <c r="R98" s="4"/>
      <c r="S98" s="4"/>
      <c r="T98" s="4"/>
      <c r="U98" s="4"/>
      <c r="V98" s="4"/>
      <c r="W98" s="4"/>
    </row>
    <row r="99" spans="1:23" ht="13.5" thickBot="1">
      <c r="A99" s="4">
        <v>102</v>
      </c>
      <c r="B99" s="12"/>
      <c r="C99" s="94"/>
      <c r="D99" s="235" t="s">
        <v>251</v>
      </c>
      <c r="E99" s="404">
        <f>E97*E98</f>
        <v>1326778.2</v>
      </c>
      <c r="F99" s="244"/>
      <c r="G99" s="143"/>
      <c r="H99" s="245"/>
      <c r="I99" s="4"/>
      <c r="J99" s="12"/>
      <c r="K99" s="4"/>
      <c r="L99" s="4"/>
      <c r="M99" s="4"/>
      <c r="N99" s="4"/>
      <c r="O99" s="4"/>
      <c r="P99" s="4"/>
      <c r="Q99" s="4"/>
      <c r="R99" s="4"/>
      <c r="S99" s="4"/>
      <c r="T99" s="4"/>
      <c r="U99" s="4"/>
      <c r="V99" s="4"/>
      <c r="W99" s="4"/>
    </row>
    <row r="100" spans="1:23" ht="13.5" thickTop="1">
      <c r="A100" s="4">
        <v>103</v>
      </c>
      <c r="B100" s="12"/>
      <c r="C100" s="94"/>
      <c r="D100" s="235"/>
      <c r="E100" s="246"/>
      <c r="F100" s="247"/>
      <c r="G100" s="246"/>
      <c r="H100" s="245"/>
      <c r="I100" s="4"/>
      <c r="J100" s="12"/>
      <c r="K100" s="4"/>
      <c r="L100" s="4"/>
      <c r="M100" s="4"/>
      <c r="N100" s="4"/>
      <c r="O100" s="4"/>
      <c r="P100" s="4"/>
      <c r="Q100" s="4"/>
      <c r="R100" s="4"/>
      <c r="S100" s="4"/>
      <c r="T100" s="4"/>
      <c r="U100" s="4"/>
      <c r="V100" s="4"/>
      <c r="W100" s="4"/>
    </row>
    <row r="101" spans="1:23" ht="12.75">
      <c r="A101" s="4">
        <v>104</v>
      </c>
      <c r="B101" s="12"/>
      <c r="C101" s="94"/>
      <c r="D101" s="233"/>
      <c r="E101" s="95"/>
      <c r="F101" s="95"/>
      <c r="G101" s="248"/>
      <c r="H101" s="248"/>
      <c r="I101" s="4"/>
      <c r="J101" s="12"/>
      <c r="K101" s="4"/>
      <c r="L101" s="4"/>
      <c r="M101" s="4"/>
      <c r="N101" s="4"/>
      <c r="O101" s="4"/>
      <c r="P101" s="4"/>
      <c r="Q101" s="4"/>
      <c r="R101" s="4"/>
      <c r="S101" s="4"/>
      <c r="T101" s="4"/>
      <c r="U101" s="4"/>
      <c r="V101" s="4"/>
      <c r="W101" s="4"/>
    </row>
    <row r="102" spans="1:23" ht="12.75">
      <c r="A102" s="4">
        <v>105</v>
      </c>
      <c r="B102" s="12"/>
      <c r="C102" s="94"/>
      <c r="D102" s="350" t="s">
        <v>106</v>
      </c>
      <c r="E102" s="350"/>
      <c r="F102" s="350"/>
      <c r="G102" s="350"/>
      <c r="H102" s="350"/>
      <c r="I102" s="4"/>
      <c r="J102" s="12"/>
      <c r="K102" s="4"/>
      <c r="L102" s="4"/>
      <c r="M102" s="4"/>
      <c r="N102" s="4"/>
      <c r="O102" s="4"/>
      <c r="P102" s="4"/>
      <c r="Q102" s="4"/>
      <c r="R102" s="4"/>
      <c r="S102" s="4"/>
      <c r="T102" s="4"/>
      <c r="U102" s="4"/>
      <c r="V102" s="4"/>
      <c r="W102" s="4"/>
    </row>
    <row r="103" spans="1:23" ht="12.75">
      <c r="A103" s="4">
        <v>106</v>
      </c>
      <c r="B103" s="12"/>
      <c r="C103" s="94"/>
      <c r="D103" s="350" t="s">
        <v>459</v>
      </c>
      <c r="E103" s="350"/>
      <c r="F103" s="350"/>
      <c r="G103" s="350"/>
      <c r="H103" s="350"/>
      <c r="I103" s="4"/>
      <c r="J103" s="12"/>
      <c r="K103" s="4"/>
      <c r="L103" s="4"/>
      <c r="M103" s="4"/>
      <c r="N103" s="4"/>
      <c r="O103" s="4"/>
      <c r="P103" s="4"/>
      <c r="Q103" s="4"/>
      <c r="R103" s="4"/>
      <c r="S103" s="4"/>
      <c r="T103" s="4"/>
      <c r="U103" s="4"/>
      <c r="V103" s="4"/>
      <c r="W103" s="4"/>
    </row>
    <row r="104" spans="1:23" ht="12.75">
      <c r="A104" s="4">
        <v>107</v>
      </c>
      <c r="B104" s="12"/>
      <c r="C104" s="94"/>
      <c r="D104" s="510"/>
      <c r="E104" s="491"/>
      <c r="F104" s="491"/>
      <c r="G104" s="491"/>
      <c r="H104" s="491"/>
      <c r="I104" s="4"/>
      <c r="J104" s="12"/>
      <c r="K104" s="4"/>
      <c r="L104" s="4"/>
      <c r="M104" s="4"/>
      <c r="N104" s="4"/>
      <c r="O104" s="4"/>
      <c r="P104" s="4"/>
      <c r="Q104" s="4"/>
      <c r="R104" s="4"/>
      <c r="S104" s="4"/>
      <c r="T104" s="4"/>
      <c r="U104" s="4"/>
      <c r="V104" s="4"/>
      <c r="W104" s="4"/>
    </row>
    <row r="105" spans="1:23" ht="12.75">
      <c r="A105" s="4">
        <v>108</v>
      </c>
      <c r="B105" s="12"/>
      <c r="C105" s="94"/>
      <c r="D105" s="235" t="s">
        <v>249</v>
      </c>
      <c r="E105" s="143">
        <f>E30</f>
        <v>261200</v>
      </c>
      <c r="F105" s="95"/>
      <c r="G105" s="143"/>
      <c r="H105" s="95"/>
      <c r="I105" s="4"/>
      <c r="J105" s="12"/>
      <c r="K105" s="4"/>
      <c r="L105" s="4"/>
      <c r="M105" s="4"/>
      <c r="N105" s="4"/>
      <c r="O105" s="4"/>
      <c r="P105" s="4"/>
      <c r="Q105" s="4"/>
      <c r="R105" s="4"/>
      <c r="S105" s="4"/>
      <c r="T105" s="4"/>
      <c r="U105" s="4"/>
      <c r="V105" s="4"/>
      <c r="W105" s="4"/>
    </row>
    <row r="106" spans="1:23" ht="12.75">
      <c r="A106" s="4">
        <v>109</v>
      </c>
      <c r="B106" s="12"/>
      <c r="C106" s="94"/>
      <c r="D106" s="235" t="s">
        <v>252</v>
      </c>
      <c r="E106" s="143">
        <f>E99</f>
        <v>1326778.2</v>
      </c>
      <c r="F106" s="95"/>
      <c r="G106" s="143"/>
      <c r="H106" s="95"/>
      <c r="I106" s="4"/>
      <c r="J106" s="12"/>
      <c r="K106" s="4"/>
      <c r="L106" s="4"/>
      <c r="M106" s="4"/>
      <c r="N106" s="4"/>
      <c r="O106" s="4"/>
      <c r="P106" s="4"/>
      <c r="Q106" s="4"/>
      <c r="R106" s="4"/>
      <c r="S106" s="4"/>
      <c r="T106" s="4"/>
      <c r="U106" s="4"/>
      <c r="V106" s="4"/>
      <c r="W106" s="4"/>
    </row>
    <row r="107" spans="1:23" ht="12.75">
      <c r="A107" s="4">
        <v>110</v>
      </c>
      <c r="B107" s="12"/>
      <c r="C107" s="94"/>
      <c r="D107" s="235" t="s">
        <v>475</v>
      </c>
      <c r="E107" s="400">
        <f>E86</f>
        <v>965250</v>
      </c>
      <c r="F107" s="95"/>
      <c r="G107" s="143"/>
      <c r="H107" s="95"/>
      <c r="I107" s="4"/>
      <c r="J107" s="12"/>
      <c r="K107" s="4"/>
      <c r="L107" s="4"/>
      <c r="M107" s="4"/>
      <c r="N107" s="4"/>
      <c r="O107" s="4"/>
      <c r="P107" s="4"/>
      <c r="Q107" s="4"/>
      <c r="R107" s="4"/>
      <c r="S107" s="4"/>
      <c r="T107" s="4"/>
      <c r="U107" s="4"/>
      <c r="V107" s="4"/>
      <c r="W107" s="4"/>
    </row>
    <row r="108" spans="1:23" ht="12.75">
      <c r="A108" s="4">
        <v>111</v>
      </c>
      <c r="B108" s="12"/>
      <c r="C108" s="94"/>
      <c r="D108" s="235" t="s">
        <v>250</v>
      </c>
      <c r="E108" s="401">
        <f>ROUND(E106+E107,0)*0.1</f>
        <v>229202.80000000002</v>
      </c>
      <c r="F108" s="95"/>
      <c r="G108" s="143"/>
      <c r="H108" s="95"/>
      <c r="I108" s="4"/>
      <c r="J108" s="12"/>
      <c r="K108" s="4"/>
      <c r="L108" s="4"/>
      <c r="M108" s="4"/>
      <c r="N108" s="4"/>
      <c r="O108" s="4"/>
      <c r="P108" s="4"/>
      <c r="Q108" s="4"/>
      <c r="R108" s="4"/>
      <c r="S108" s="4"/>
      <c r="T108" s="4"/>
      <c r="U108" s="4"/>
      <c r="V108" s="4"/>
      <c r="W108" s="4"/>
    </row>
    <row r="109" spans="1:23" ht="13.5" thickBot="1">
      <c r="A109" s="4">
        <v>112</v>
      </c>
      <c r="B109" s="12"/>
      <c r="C109" s="94"/>
      <c r="D109" s="235" t="s">
        <v>253</v>
      </c>
      <c r="E109" s="402">
        <f>E105+E106+E107-E108</f>
        <v>2324025.4000000004</v>
      </c>
      <c r="F109" s="95"/>
      <c r="G109" s="143"/>
      <c r="H109" s="95"/>
      <c r="I109" s="4"/>
      <c r="J109" s="12"/>
      <c r="K109" s="4"/>
      <c r="L109" s="4"/>
      <c r="M109" s="4"/>
      <c r="N109" s="4"/>
      <c r="O109" s="4"/>
      <c r="P109" s="4"/>
      <c r="Q109" s="4"/>
      <c r="R109" s="4"/>
      <c r="S109" s="4"/>
      <c r="T109" s="4"/>
      <c r="U109" s="4"/>
      <c r="V109" s="4"/>
      <c r="W109" s="4"/>
    </row>
    <row r="110" spans="1:23" ht="13.5" thickTop="1">
      <c r="A110" s="4">
        <v>113</v>
      </c>
      <c r="B110" s="12"/>
      <c r="C110" s="94"/>
      <c r="D110" s="235"/>
      <c r="E110" s="228"/>
      <c r="F110" s="95"/>
      <c r="G110" s="228"/>
      <c r="H110" s="95"/>
      <c r="I110" s="4"/>
      <c r="J110" s="12"/>
      <c r="K110" s="4"/>
      <c r="L110" s="4"/>
      <c r="M110" s="4"/>
      <c r="N110" s="4"/>
      <c r="O110" s="4"/>
      <c r="P110" s="4"/>
      <c r="Q110" s="4"/>
      <c r="R110" s="4"/>
      <c r="S110" s="4"/>
      <c r="T110" s="4"/>
      <c r="U110" s="4"/>
      <c r="V110" s="4"/>
      <c r="W110" s="4"/>
    </row>
    <row r="111" spans="1:23" ht="12.75">
      <c r="A111" s="4">
        <v>114</v>
      </c>
      <c r="B111" s="12"/>
      <c r="C111" s="94"/>
      <c r="D111" s="510" t="s">
        <v>106</v>
      </c>
      <c r="E111" s="492"/>
      <c r="F111" s="247"/>
      <c r="G111" s="246"/>
      <c r="H111" s="245"/>
      <c r="I111" s="4"/>
      <c r="J111" s="12"/>
      <c r="K111" s="4"/>
      <c r="L111" s="4"/>
      <c r="M111" s="4"/>
      <c r="N111" s="4"/>
      <c r="O111" s="4"/>
      <c r="P111" s="4"/>
      <c r="Q111" s="4"/>
      <c r="R111" s="4"/>
      <c r="S111" s="4"/>
      <c r="T111" s="4"/>
      <c r="U111" s="4"/>
      <c r="V111" s="4"/>
      <c r="W111" s="4"/>
    </row>
    <row r="112" spans="1:23" ht="12.75">
      <c r="A112" s="4">
        <v>115</v>
      </c>
      <c r="B112" s="12"/>
      <c r="C112" s="94"/>
      <c r="D112" s="510" t="s">
        <v>246</v>
      </c>
      <c r="E112" s="510"/>
      <c r="F112" s="247"/>
      <c r="G112" s="246"/>
      <c r="H112" s="245"/>
      <c r="I112" s="4"/>
      <c r="J112" s="12"/>
      <c r="K112" s="4"/>
      <c r="L112" s="4"/>
      <c r="M112" s="4"/>
      <c r="N112" s="4"/>
      <c r="O112" s="4"/>
      <c r="P112" s="4"/>
      <c r="Q112" s="4"/>
      <c r="R112" s="4"/>
      <c r="S112" s="4"/>
      <c r="T112" s="4"/>
      <c r="U112" s="4"/>
      <c r="V112" s="4"/>
      <c r="W112" s="4"/>
    </row>
    <row r="113" spans="1:23" ht="12.75">
      <c r="A113" s="4">
        <v>116</v>
      </c>
      <c r="B113" s="12"/>
      <c r="C113" s="94"/>
      <c r="D113" s="510" t="s">
        <v>108</v>
      </c>
      <c r="E113" s="510"/>
      <c r="F113" s="247"/>
      <c r="G113" s="246"/>
      <c r="H113" s="245"/>
      <c r="I113" s="4"/>
      <c r="J113" s="12"/>
      <c r="K113" s="4"/>
      <c r="L113" s="4"/>
      <c r="M113" s="4"/>
      <c r="N113" s="4"/>
      <c r="O113" s="4"/>
      <c r="P113" s="4"/>
      <c r="Q113" s="4"/>
      <c r="R113" s="4"/>
      <c r="S113" s="4"/>
      <c r="T113" s="4"/>
      <c r="U113" s="4"/>
      <c r="V113" s="4"/>
      <c r="W113" s="4"/>
    </row>
    <row r="114" spans="1:23" ht="12.75">
      <c r="A114" s="4">
        <v>117</v>
      </c>
      <c r="B114" s="12"/>
      <c r="C114" s="94"/>
      <c r="D114" s="491"/>
      <c r="E114" s="491"/>
      <c r="F114" s="491"/>
      <c r="G114" s="491"/>
      <c r="H114" s="491"/>
      <c r="I114" s="4"/>
      <c r="J114" s="12"/>
      <c r="K114" s="4"/>
      <c r="L114" s="4"/>
      <c r="M114" s="4"/>
      <c r="N114" s="4"/>
      <c r="O114" s="4"/>
      <c r="P114" s="4"/>
      <c r="Q114" s="4"/>
      <c r="R114" s="4"/>
      <c r="S114" s="4"/>
      <c r="T114" s="4"/>
      <c r="U114" s="4"/>
      <c r="V114" s="4"/>
      <c r="W114" s="4"/>
    </row>
    <row r="115" spans="1:23" ht="12.75">
      <c r="A115" s="4">
        <v>118</v>
      </c>
      <c r="B115" s="12"/>
      <c r="C115" s="94"/>
      <c r="D115" s="235" t="s">
        <v>240</v>
      </c>
      <c r="E115" s="143">
        <f>E3</f>
        <v>3510</v>
      </c>
      <c r="F115" s="111"/>
      <c r="G115" s="143"/>
      <c r="H115" s="245"/>
      <c r="I115" s="4"/>
      <c r="J115" s="12"/>
      <c r="K115" s="4"/>
      <c r="L115" s="4"/>
      <c r="M115" s="4"/>
      <c r="N115" s="4"/>
      <c r="O115" s="4"/>
      <c r="P115" s="4"/>
      <c r="Q115" s="4"/>
      <c r="R115" s="4"/>
      <c r="S115" s="4"/>
      <c r="T115" s="4"/>
      <c r="U115" s="4"/>
      <c r="V115" s="4"/>
      <c r="W115" s="4"/>
    </row>
    <row r="116" spans="1:23" ht="12.75">
      <c r="A116" s="4">
        <v>119</v>
      </c>
      <c r="B116" s="12"/>
      <c r="C116" s="94"/>
      <c r="D116" s="235" t="s">
        <v>241</v>
      </c>
      <c r="E116" s="182">
        <v>15</v>
      </c>
      <c r="F116" s="111"/>
      <c r="G116" s="143"/>
      <c r="H116" s="245"/>
      <c r="I116" s="4"/>
      <c r="J116" s="12"/>
      <c r="K116" s="4"/>
      <c r="L116" s="4"/>
      <c r="M116" s="4"/>
      <c r="N116" s="4"/>
      <c r="O116" s="4"/>
      <c r="P116" s="4"/>
      <c r="Q116" s="4"/>
      <c r="R116" s="4"/>
      <c r="S116" s="4"/>
      <c r="T116" s="4"/>
      <c r="U116" s="4"/>
      <c r="V116" s="4"/>
      <c r="W116" s="4"/>
    </row>
    <row r="117" spans="1:23" ht="12.75">
      <c r="A117" s="4">
        <v>120</v>
      </c>
      <c r="B117" s="12"/>
      <c r="C117" s="94"/>
      <c r="D117" s="235" t="s">
        <v>242</v>
      </c>
      <c r="E117" s="143">
        <f>E115*E116</f>
        <v>52650</v>
      </c>
      <c r="F117" s="111"/>
      <c r="G117" s="143"/>
      <c r="H117" s="245"/>
      <c r="I117" s="4"/>
      <c r="J117" s="12"/>
      <c r="K117" s="4"/>
      <c r="L117" s="4"/>
      <c r="M117" s="4"/>
      <c r="N117" s="4"/>
      <c r="O117" s="4"/>
      <c r="P117" s="4"/>
      <c r="Q117" s="4"/>
      <c r="R117" s="4"/>
      <c r="S117" s="4"/>
      <c r="T117" s="4"/>
      <c r="U117" s="4"/>
      <c r="V117" s="4"/>
      <c r="W117" s="4"/>
    </row>
    <row r="118" spans="1:23" ht="12.75">
      <c r="A118" s="4">
        <v>121</v>
      </c>
      <c r="B118" s="12"/>
      <c r="C118" s="94"/>
      <c r="D118" s="235" t="s">
        <v>243</v>
      </c>
      <c r="E118" s="182">
        <v>20</v>
      </c>
      <c r="F118" s="111"/>
      <c r="G118" s="143"/>
      <c r="H118" s="245"/>
      <c r="I118" s="4"/>
      <c r="J118" s="12"/>
      <c r="K118" s="4"/>
      <c r="L118" s="4"/>
      <c r="M118" s="4"/>
      <c r="N118" s="4"/>
      <c r="O118" s="4"/>
      <c r="P118" s="4"/>
      <c r="Q118" s="4"/>
      <c r="R118" s="4"/>
      <c r="S118" s="4"/>
      <c r="T118" s="4"/>
      <c r="U118" s="4"/>
      <c r="V118" s="4"/>
      <c r="W118" s="4"/>
    </row>
    <row r="119" spans="1:23" ht="12.75">
      <c r="A119" s="4">
        <v>122</v>
      </c>
      <c r="B119" s="12"/>
      <c r="C119" s="94"/>
      <c r="D119" s="235" t="s">
        <v>244</v>
      </c>
      <c r="E119" s="143">
        <f>E117*E118</f>
        <v>1053000</v>
      </c>
      <c r="F119" s="111"/>
      <c r="G119" s="143"/>
      <c r="H119" s="245"/>
      <c r="I119" s="4"/>
      <c r="J119" s="12"/>
      <c r="K119" s="4"/>
      <c r="L119" s="4"/>
      <c r="M119" s="4"/>
      <c r="N119" s="4"/>
      <c r="O119" s="4"/>
      <c r="P119" s="4"/>
      <c r="Q119" s="4"/>
      <c r="R119" s="4"/>
      <c r="S119" s="4"/>
      <c r="T119" s="4"/>
      <c r="U119" s="4"/>
      <c r="V119" s="4"/>
      <c r="W119" s="4"/>
    </row>
    <row r="120" spans="1:23" ht="12.75">
      <c r="A120" s="4">
        <v>123</v>
      </c>
      <c r="B120" s="12"/>
      <c r="C120" s="94"/>
      <c r="D120" s="233"/>
      <c r="E120" s="95"/>
      <c r="F120" s="95"/>
      <c r="G120" s="248"/>
      <c r="H120" s="248"/>
      <c r="I120" s="4"/>
      <c r="J120" s="12"/>
      <c r="K120" s="4"/>
      <c r="L120" s="4"/>
      <c r="M120" s="4"/>
      <c r="N120" s="4"/>
      <c r="O120" s="4"/>
      <c r="P120" s="4"/>
      <c r="Q120" s="4"/>
      <c r="R120" s="4"/>
      <c r="S120" s="4"/>
      <c r="T120" s="4"/>
      <c r="U120" s="4"/>
      <c r="V120" s="4"/>
      <c r="W120" s="4"/>
    </row>
    <row r="121" spans="1:23" ht="12.75">
      <c r="A121" s="4">
        <v>124</v>
      </c>
      <c r="B121" s="12"/>
      <c r="C121" s="94"/>
      <c r="D121" s="94"/>
      <c r="E121" s="351"/>
      <c r="F121" s="351"/>
      <c r="G121" s="351"/>
      <c r="H121" s="351"/>
      <c r="I121" s="4"/>
      <c r="J121" s="12"/>
      <c r="K121" s="4"/>
      <c r="L121" s="4"/>
      <c r="M121" s="4"/>
      <c r="N121" s="4"/>
      <c r="O121" s="4"/>
      <c r="P121" s="4"/>
      <c r="Q121" s="4"/>
      <c r="R121" s="4"/>
      <c r="S121" s="4"/>
      <c r="T121" s="4"/>
      <c r="U121" s="4"/>
      <c r="V121" s="4"/>
      <c r="W121" s="4"/>
    </row>
    <row r="122" spans="1:23" ht="12.75">
      <c r="A122" s="4">
        <v>125</v>
      </c>
      <c r="B122" s="12"/>
      <c r="C122" s="94"/>
      <c r="D122" s="510" t="s">
        <v>106</v>
      </c>
      <c r="E122" s="492"/>
      <c r="F122" s="350"/>
      <c r="G122" s="350"/>
      <c r="H122" s="350"/>
      <c r="I122" s="4"/>
      <c r="J122" s="12"/>
      <c r="K122" s="4"/>
      <c r="L122" s="4"/>
      <c r="M122" s="4"/>
      <c r="N122" s="4"/>
      <c r="O122" s="4"/>
      <c r="P122" s="4"/>
      <c r="Q122" s="4"/>
      <c r="R122" s="4"/>
      <c r="S122" s="4"/>
      <c r="T122" s="4"/>
      <c r="U122" s="4"/>
      <c r="V122" s="4"/>
      <c r="W122" s="4"/>
    </row>
    <row r="123" spans="1:23" ht="12.75">
      <c r="A123" s="4">
        <v>126</v>
      </c>
      <c r="B123" s="12"/>
      <c r="C123" s="94"/>
      <c r="D123" s="510" t="s">
        <v>247</v>
      </c>
      <c r="E123" s="510"/>
      <c r="F123" s="350"/>
      <c r="G123" s="350"/>
      <c r="H123" s="350"/>
      <c r="I123" s="4"/>
      <c r="J123" s="12"/>
      <c r="K123" s="4"/>
      <c r="L123" s="4"/>
      <c r="M123" s="4"/>
      <c r="N123" s="4"/>
      <c r="O123" s="4"/>
      <c r="P123" s="4"/>
      <c r="Q123" s="4"/>
      <c r="R123" s="4"/>
      <c r="S123" s="4"/>
      <c r="T123" s="4"/>
      <c r="U123" s="4"/>
      <c r="V123" s="4"/>
      <c r="W123" s="4"/>
    </row>
    <row r="124" spans="1:23" ht="12.75">
      <c r="A124" s="4">
        <v>127</v>
      </c>
      <c r="B124" s="12"/>
      <c r="C124" s="94"/>
      <c r="D124" s="510" t="s">
        <v>108</v>
      </c>
      <c r="E124" s="510"/>
      <c r="F124" s="350"/>
      <c r="G124" s="350"/>
      <c r="H124" s="354"/>
      <c r="I124" s="4"/>
      <c r="J124" s="12"/>
      <c r="K124" s="4"/>
      <c r="L124" s="4"/>
      <c r="M124" s="4"/>
      <c r="N124" s="4"/>
      <c r="O124" s="4"/>
      <c r="P124" s="4"/>
      <c r="Q124" s="4"/>
      <c r="R124" s="4"/>
      <c r="S124" s="4"/>
      <c r="T124" s="4"/>
      <c r="U124" s="4"/>
      <c r="V124" s="4"/>
      <c r="W124" s="4"/>
    </row>
    <row r="125" spans="1:23" ht="12.75">
      <c r="A125" s="4">
        <v>128</v>
      </c>
      <c r="B125" s="12"/>
      <c r="C125" s="94"/>
      <c r="D125" s="354"/>
      <c r="E125" s="350"/>
      <c r="F125" s="350"/>
      <c r="G125" s="350"/>
      <c r="H125" s="350"/>
      <c r="I125" s="4"/>
      <c r="J125" s="12"/>
      <c r="K125" s="4"/>
      <c r="L125" s="4"/>
      <c r="M125" s="4"/>
      <c r="N125" s="4"/>
      <c r="O125" s="4"/>
      <c r="P125" s="4"/>
      <c r="Q125" s="4"/>
      <c r="R125" s="4"/>
      <c r="S125" s="4"/>
      <c r="T125" s="4"/>
      <c r="U125" s="4"/>
      <c r="V125" s="4"/>
      <c r="W125" s="4"/>
    </row>
    <row r="126" spans="1:23" ht="12.75">
      <c r="A126" s="4">
        <v>129</v>
      </c>
      <c r="B126" s="12"/>
      <c r="C126" s="94"/>
      <c r="D126" s="259" t="s">
        <v>342</v>
      </c>
      <c r="E126" s="183"/>
      <c r="F126" s="183"/>
      <c r="G126" s="230"/>
      <c r="H126" s="230"/>
      <c r="I126" s="4"/>
      <c r="J126" s="12"/>
      <c r="K126" s="4"/>
      <c r="L126" s="4"/>
      <c r="M126" s="4"/>
      <c r="N126" s="4"/>
      <c r="O126" s="4"/>
      <c r="P126" s="4"/>
      <c r="Q126" s="4"/>
      <c r="R126" s="4"/>
      <c r="S126" s="4"/>
      <c r="T126" s="4"/>
      <c r="U126" s="4"/>
      <c r="V126" s="4"/>
      <c r="W126" s="4"/>
    </row>
    <row r="127" spans="1:23" ht="12.75">
      <c r="A127" s="4">
        <v>130</v>
      </c>
      <c r="B127" s="12"/>
      <c r="C127" s="94"/>
      <c r="D127" s="253" t="s">
        <v>147</v>
      </c>
      <c r="E127" s="167">
        <v>122850</v>
      </c>
      <c r="F127" s="183"/>
      <c r="G127" s="230"/>
      <c r="H127" s="230"/>
      <c r="I127" s="4"/>
      <c r="J127" s="12"/>
      <c r="K127" s="4"/>
      <c r="L127" s="4"/>
      <c r="M127" s="4"/>
      <c r="N127" s="4"/>
      <c r="O127" s="4"/>
      <c r="P127" s="4"/>
      <c r="Q127" s="4"/>
      <c r="R127" s="4"/>
      <c r="S127" s="4"/>
      <c r="T127" s="4"/>
      <c r="U127" s="4"/>
      <c r="V127" s="4"/>
      <c r="W127" s="4"/>
    </row>
    <row r="128" spans="1:23" ht="12.75">
      <c r="A128" s="4">
        <v>131</v>
      </c>
      <c r="B128" s="12"/>
      <c r="C128" s="94"/>
      <c r="D128" s="259" t="s">
        <v>350</v>
      </c>
      <c r="E128" s="165">
        <f>E127</f>
        <v>122850</v>
      </c>
      <c r="F128" s="183"/>
      <c r="G128" s="230"/>
      <c r="H128" s="230"/>
      <c r="I128" s="4"/>
      <c r="J128" s="12"/>
      <c r="K128" s="4"/>
      <c r="L128" s="4"/>
      <c r="M128" s="4"/>
      <c r="N128" s="4"/>
      <c r="O128" s="4"/>
      <c r="P128" s="4"/>
      <c r="Q128" s="4"/>
      <c r="R128" s="4"/>
      <c r="S128" s="4"/>
      <c r="T128" s="4"/>
      <c r="U128" s="4"/>
      <c r="V128" s="4"/>
      <c r="W128" s="4"/>
    </row>
    <row r="129" spans="1:23" ht="12.75">
      <c r="A129" s="4">
        <v>132</v>
      </c>
      <c r="B129" s="12"/>
      <c r="C129" s="94"/>
      <c r="D129" s="259"/>
      <c r="E129" s="165"/>
      <c r="F129" s="183"/>
      <c r="G129" s="230"/>
      <c r="H129" s="230"/>
      <c r="I129" s="4"/>
      <c r="J129" s="12"/>
      <c r="K129" s="4"/>
      <c r="L129" s="4"/>
      <c r="M129" s="4"/>
      <c r="N129" s="4"/>
      <c r="O129" s="4"/>
      <c r="P129" s="4"/>
      <c r="Q129" s="4"/>
      <c r="R129" s="4"/>
      <c r="S129" s="4"/>
      <c r="T129" s="4"/>
      <c r="U129" s="4"/>
      <c r="V129" s="4"/>
      <c r="W129" s="4"/>
    </row>
    <row r="130" spans="1:23" ht="12.75">
      <c r="A130" s="4">
        <v>133</v>
      </c>
      <c r="B130" s="12"/>
      <c r="C130" s="94"/>
      <c r="D130" s="259" t="s">
        <v>343</v>
      </c>
      <c r="E130" s="165"/>
      <c r="F130" s="183"/>
      <c r="G130" s="230"/>
      <c r="H130" s="230"/>
      <c r="I130" s="4"/>
      <c r="J130" s="12"/>
      <c r="K130" s="4"/>
      <c r="L130" s="4"/>
      <c r="M130" s="4"/>
      <c r="N130" s="4"/>
      <c r="O130" s="4"/>
      <c r="P130" s="4"/>
      <c r="Q130" s="4"/>
      <c r="R130" s="4"/>
      <c r="S130" s="4"/>
      <c r="T130" s="4"/>
      <c r="U130" s="4"/>
      <c r="V130" s="4"/>
      <c r="W130" s="4"/>
    </row>
    <row r="131" spans="1:23" ht="12.75">
      <c r="A131" s="4">
        <v>134</v>
      </c>
      <c r="B131" s="12"/>
      <c r="C131" s="94"/>
      <c r="D131" s="253" t="s">
        <v>213</v>
      </c>
      <c r="E131" s="165">
        <v>34481</v>
      </c>
      <c r="F131" s="183"/>
      <c r="G131" s="230"/>
      <c r="H131" s="230"/>
      <c r="I131" s="4"/>
      <c r="J131" s="12"/>
      <c r="K131" s="4"/>
      <c r="L131" s="4"/>
      <c r="M131" s="4"/>
      <c r="N131" s="4"/>
      <c r="O131" s="4"/>
      <c r="P131" s="4"/>
      <c r="Q131" s="4"/>
      <c r="R131" s="4"/>
      <c r="S131" s="4"/>
      <c r="T131" s="4"/>
      <c r="U131" s="4"/>
      <c r="V131" s="4"/>
      <c r="W131" s="4"/>
    </row>
    <row r="132" spans="1:23" ht="12.75">
      <c r="A132" s="4">
        <v>135</v>
      </c>
      <c r="B132" s="12"/>
      <c r="C132" s="94"/>
      <c r="D132" s="253" t="s">
        <v>346</v>
      </c>
      <c r="E132" s="167">
        <v>41294</v>
      </c>
      <c r="F132" s="183"/>
      <c r="G132" s="230"/>
      <c r="H132" s="230"/>
      <c r="I132" s="4"/>
      <c r="J132" s="12"/>
      <c r="K132" s="4"/>
      <c r="L132" s="4"/>
      <c r="M132" s="4"/>
      <c r="N132" s="4"/>
      <c r="O132" s="4"/>
      <c r="P132" s="4"/>
      <c r="Q132" s="4"/>
      <c r="R132" s="4"/>
      <c r="S132" s="4"/>
      <c r="T132" s="4"/>
      <c r="U132" s="4"/>
      <c r="V132" s="4"/>
      <c r="W132" s="4"/>
    </row>
    <row r="133" spans="1:23" ht="12.75">
      <c r="A133" s="4">
        <v>136</v>
      </c>
      <c r="B133" s="12"/>
      <c r="C133" s="94"/>
      <c r="D133" s="259" t="s">
        <v>351</v>
      </c>
      <c r="E133" s="165">
        <f>E131+E132</f>
        <v>75775</v>
      </c>
      <c r="F133" s="183"/>
      <c r="G133" s="230"/>
      <c r="H133" s="230"/>
      <c r="I133" s="4"/>
      <c r="J133" s="12"/>
      <c r="K133" s="4"/>
      <c r="L133" s="4"/>
      <c r="M133" s="4"/>
      <c r="N133" s="4"/>
      <c r="O133" s="4"/>
      <c r="P133" s="4"/>
      <c r="Q133" s="4"/>
      <c r="R133" s="4"/>
      <c r="S133" s="4"/>
      <c r="T133" s="4"/>
      <c r="U133" s="4"/>
      <c r="V133" s="4"/>
      <c r="W133" s="4"/>
    </row>
    <row r="134" spans="1:23" ht="12.75">
      <c r="A134" s="4">
        <v>137</v>
      </c>
      <c r="B134" s="12"/>
      <c r="C134" s="94"/>
      <c r="D134" s="259"/>
      <c r="E134" s="165"/>
      <c r="F134" s="183"/>
      <c r="G134" s="230"/>
      <c r="H134" s="230"/>
      <c r="I134" s="4"/>
      <c r="J134" s="12"/>
      <c r="K134" s="4"/>
      <c r="L134" s="4"/>
      <c r="M134" s="4"/>
      <c r="N134" s="4"/>
      <c r="O134" s="4"/>
      <c r="P134" s="4"/>
      <c r="Q134" s="4"/>
      <c r="R134" s="4"/>
      <c r="S134" s="4"/>
      <c r="T134" s="4"/>
      <c r="U134" s="4"/>
      <c r="V134" s="4"/>
      <c r="W134" s="4"/>
    </row>
    <row r="135" spans="1:23" ht="12.75">
      <c r="A135" s="4">
        <v>138</v>
      </c>
      <c r="B135" s="12"/>
      <c r="C135" s="94"/>
      <c r="D135" s="261" t="s">
        <v>344</v>
      </c>
      <c r="E135" s="165"/>
      <c r="F135" s="183"/>
      <c r="G135" s="230"/>
      <c r="H135" s="230"/>
      <c r="I135" s="4"/>
      <c r="J135" s="12"/>
      <c r="K135" s="4"/>
      <c r="L135" s="4"/>
      <c r="M135" s="4"/>
      <c r="N135" s="4"/>
      <c r="O135" s="4"/>
      <c r="P135" s="4"/>
      <c r="Q135" s="4"/>
      <c r="R135" s="4"/>
      <c r="S135" s="4"/>
      <c r="T135" s="4"/>
      <c r="U135" s="4"/>
      <c r="V135" s="4"/>
      <c r="W135" s="4"/>
    </row>
    <row r="136" spans="1:23" ht="12.75">
      <c r="A136" s="4">
        <v>139</v>
      </c>
      <c r="B136" s="12"/>
      <c r="C136" s="94"/>
      <c r="D136" s="262" t="s">
        <v>149</v>
      </c>
      <c r="E136" s="167">
        <v>77426</v>
      </c>
      <c r="F136" s="183"/>
      <c r="G136" s="230"/>
      <c r="H136" s="230"/>
      <c r="I136" s="4"/>
      <c r="J136" s="12"/>
      <c r="K136" s="4"/>
      <c r="L136" s="4"/>
      <c r="M136" s="4"/>
      <c r="N136" s="4"/>
      <c r="O136" s="4"/>
      <c r="P136" s="4"/>
      <c r="Q136" s="4"/>
      <c r="R136" s="4"/>
      <c r="S136" s="4"/>
      <c r="T136" s="4"/>
      <c r="U136" s="4"/>
      <c r="V136" s="4"/>
      <c r="W136" s="4"/>
    </row>
    <row r="137" spans="1:23" ht="12.75">
      <c r="A137" s="4">
        <v>140</v>
      </c>
      <c r="B137" s="12"/>
      <c r="C137" s="94"/>
      <c r="D137" s="259" t="s">
        <v>352</v>
      </c>
      <c r="E137" s="165">
        <f>E135+E136</f>
        <v>77426</v>
      </c>
      <c r="F137" s="183"/>
      <c r="G137" s="230"/>
      <c r="H137" s="230"/>
      <c r="I137" s="4"/>
      <c r="J137" s="12"/>
      <c r="K137" s="4"/>
      <c r="L137" s="4"/>
      <c r="M137" s="4"/>
      <c r="N137" s="4"/>
      <c r="O137" s="4"/>
      <c r="P137" s="4"/>
      <c r="Q137" s="4"/>
      <c r="R137" s="4"/>
      <c r="S137" s="4"/>
      <c r="T137" s="4"/>
      <c r="U137" s="4"/>
      <c r="V137" s="4"/>
      <c r="W137" s="4"/>
    </row>
    <row r="138" spans="1:23" ht="12.75">
      <c r="A138" s="4">
        <v>141</v>
      </c>
      <c r="B138" s="12"/>
      <c r="C138" s="94"/>
      <c r="D138" s="261"/>
      <c r="E138" s="406"/>
      <c r="F138" s="183"/>
      <c r="G138" s="230"/>
      <c r="H138" s="230"/>
      <c r="I138" s="4"/>
      <c r="J138" s="12"/>
      <c r="K138" s="4"/>
      <c r="L138" s="4"/>
      <c r="M138" s="4"/>
      <c r="N138" s="4"/>
      <c r="O138" s="4"/>
      <c r="P138" s="4"/>
      <c r="Q138" s="4"/>
      <c r="R138" s="4"/>
      <c r="S138" s="4"/>
      <c r="T138" s="4"/>
      <c r="U138" s="4"/>
      <c r="V138" s="4"/>
      <c r="W138" s="4"/>
    </row>
    <row r="139" spans="1:23" ht="12.75">
      <c r="A139" s="4">
        <v>142</v>
      </c>
      <c r="B139" s="12"/>
      <c r="C139" s="94"/>
      <c r="D139" s="261" t="s">
        <v>345</v>
      </c>
      <c r="E139" s="406"/>
      <c r="F139" s="183"/>
      <c r="G139" s="230"/>
      <c r="H139" s="230"/>
      <c r="I139" s="4"/>
      <c r="J139" s="12"/>
      <c r="K139" s="4"/>
      <c r="L139" s="7"/>
      <c r="M139" s="4"/>
      <c r="N139" s="4"/>
      <c r="O139" s="4"/>
      <c r="P139" s="4"/>
      <c r="Q139" s="4"/>
      <c r="R139" s="4"/>
      <c r="S139" s="4"/>
      <c r="T139" s="4"/>
      <c r="U139" s="4"/>
      <c r="V139" s="4"/>
      <c r="W139" s="4"/>
    </row>
    <row r="140" spans="1:23" ht="12.75">
      <c r="A140" s="4">
        <v>143</v>
      </c>
      <c r="B140" s="12"/>
      <c r="C140" s="94"/>
      <c r="D140" s="262" t="s">
        <v>347</v>
      </c>
      <c r="E140" s="165">
        <v>55747</v>
      </c>
      <c r="F140" s="183"/>
      <c r="G140" s="230"/>
      <c r="H140" s="230"/>
      <c r="I140" s="4"/>
      <c r="J140" s="12"/>
      <c r="K140" s="4"/>
      <c r="L140" s="4"/>
      <c r="M140" s="4"/>
      <c r="N140" s="4"/>
      <c r="O140" s="4"/>
      <c r="P140" s="4"/>
      <c r="Q140" s="4"/>
      <c r="R140" s="4"/>
      <c r="S140" s="4"/>
      <c r="T140" s="4"/>
      <c r="U140" s="4"/>
      <c r="V140" s="4"/>
      <c r="W140" s="4"/>
    </row>
    <row r="141" spans="1:23" ht="12.75">
      <c r="A141" s="4">
        <v>144</v>
      </c>
      <c r="B141" s="12"/>
      <c r="C141" s="94"/>
      <c r="D141" s="262" t="s">
        <v>212</v>
      </c>
      <c r="E141" s="167">
        <v>150000</v>
      </c>
      <c r="F141" s="183"/>
      <c r="G141" s="230"/>
      <c r="H141" s="230"/>
      <c r="I141" s="4"/>
      <c r="J141" s="12"/>
      <c r="K141" s="4"/>
      <c r="L141" s="4"/>
      <c r="M141" s="4"/>
      <c r="N141" s="4"/>
      <c r="O141" s="4"/>
      <c r="P141" s="4"/>
      <c r="Q141" s="4"/>
      <c r="R141" s="4"/>
      <c r="S141" s="4"/>
      <c r="T141" s="4"/>
      <c r="U141" s="4"/>
      <c r="V141" s="4"/>
      <c r="W141" s="4"/>
    </row>
    <row r="142" spans="1:23" ht="12.75">
      <c r="A142" s="4">
        <v>145</v>
      </c>
      <c r="B142" s="12"/>
      <c r="C142" s="94"/>
      <c r="D142" s="261" t="s">
        <v>353</v>
      </c>
      <c r="E142" s="165">
        <f>E140+E141</f>
        <v>205747</v>
      </c>
      <c r="F142" s="183"/>
      <c r="G142" s="230"/>
      <c r="H142" s="230"/>
      <c r="I142" s="4"/>
      <c r="J142" s="12"/>
      <c r="K142" s="4"/>
      <c r="L142" s="4"/>
      <c r="M142" s="4"/>
      <c r="N142" s="4"/>
      <c r="O142" s="4"/>
      <c r="P142" s="4"/>
      <c r="Q142" s="4"/>
      <c r="R142" s="4"/>
      <c r="S142" s="4"/>
      <c r="T142" s="4"/>
      <c r="U142" s="4"/>
      <c r="V142" s="4"/>
      <c r="W142" s="4"/>
    </row>
    <row r="143" spans="1:23" ht="12.75">
      <c r="A143" s="4">
        <v>146</v>
      </c>
      <c r="B143" s="12"/>
      <c r="C143" s="94"/>
      <c r="D143" s="4"/>
      <c r="E143" s="165"/>
      <c r="F143" s="183"/>
      <c r="G143" s="230"/>
      <c r="H143" s="230"/>
      <c r="I143" s="4"/>
      <c r="J143" s="12"/>
      <c r="K143" s="4"/>
      <c r="L143" s="4"/>
      <c r="M143" s="4"/>
      <c r="N143" s="4"/>
      <c r="O143" s="4"/>
      <c r="P143" s="4"/>
      <c r="Q143" s="4"/>
      <c r="R143" s="4"/>
      <c r="S143" s="4"/>
      <c r="T143" s="4"/>
      <c r="U143" s="4"/>
      <c r="V143" s="4"/>
      <c r="W143" s="4"/>
    </row>
    <row r="144" spans="1:23" ht="12.75">
      <c r="A144" s="4">
        <v>147</v>
      </c>
      <c r="B144" s="12"/>
      <c r="C144" s="94"/>
      <c r="D144" s="261" t="s">
        <v>99</v>
      </c>
      <c r="E144" s="167">
        <f>E128+E133+E137+E142</f>
        <v>481798</v>
      </c>
      <c r="F144" s="183"/>
      <c r="G144" s="230"/>
      <c r="H144" s="230"/>
      <c r="I144" s="4"/>
      <c r="J144" s="12"/>
      <c r="K144" s="4"/>
      <c r="L144" s="4"/>
      <c r="M144" s="4"/>
      <c r="N144" s="4"/>
      <c r="O144" s="4"/>
      <c r="P144" s="4"/>
      <c r="Q144" s="4"/>
      <c r="R144" s="4"/>
      <c r="S144" s="4"/>
      <c r="T144" s="4"/>
      <c r="U144" s="4"/>
      <c r="V144" s="4"/>
      <c r="W144" s="4"/>
    </row>
    <row r="145" spans="1:23" ht="12.75">
      <c r="A145" s="4">
        <v>148</v>
      </c>
      <c r="B145" s="12"/>
      <c r="C145" s="94"/>
      <c r="D145" s="94" t="s">
        <v>348</v>
      </c>
      <c r="E145" s="167">
        <f>E141</f>
        <v>150000</v>
      </c>
      <c r="F145" s="183"/>
      <c r="G145" s="230"/>
      <c r="H145" s="230"/>
      <c r="I145" s="4"/>
      <c r="J145" s="12"/>
      <c r="K145" s="4"/>
      <c r="L145" s="4"/>
      <c r="M145" s="4"/>
      <c r="N145" s="4"/>
      <c r="O145" s="4"/>
      <c r="P145" s="4"/>
      <c r="Q145" s="4"/>
      <c r="R145" s="4"/>
      <c r="S145" s="4"/>
      <c r="T145" s="4"/>
      <c r="U145" s="4"/>
      <c r="V145" s="4"/>
      <c r="W145" s="4"/>
    </row>
    <row r="146" spans="1:23" ht="13.5" thickBot="1">
      <c r="A146" s="4">
        <v>149</v>
      </c>
      <c r="B146" s="12"/>
      <c r="C146" s="94"/>
      <c r="D146" s="94" t="s">
        <v>349</v>
      </c>
      <c r="E146" s="170">
        <f>E144-E145</f>
        <v>331798</v>
      </c>
      <c r="F146" s="183"/>
      <c r="G146" s="230"/>
      <c r="H146" s="230"/>
      <c r="I146" s="4"/>
      <c r="J146" s="12"/>
      <c r="K146" s="4"/>
      <c r="L146" s="4"/>
      <c r="M146" s="4"/>
      <c r="N146" s="4"/>
      <c r="O146" s="4"/>
      <c r="P146" s="4"/>
      <c r="Q146" s="4"/>
      <c r="R146" s="4"/>
      <c r="S146" s="4"/>
      <c r="T146" s="4"/>
      <c r="U146" s="4"/>
      <c r="V146" s="4"/>
      <c r="W146" s="4"/>
    </row>
    <row r="147" spans="1:23" ht="13.5" thickTop="1">
      <c r="A147" s="4">
        <v>150</v>
      </c>
      <c r="B147" s="12"/>
      <c r="C147" s="94"/>
      <c r="D147" s="94"/>
      <c r="E147" s="250"/>
      <c r="F147" s="183"/>
      <c r="G147" s="230"/>
      <c r="H147" s="230"/>
      <c r="I147" s="4"/>
      <c r="J147" s="12"/>
      <c r="K147" s="4"/>
      <c r="L147" s="4"/>
      <c r="M147" s="4"/>
      <c r="N147" s="4"/>
      <c r="O147" s="4"/>
      <c r="P147" s="4"/>
      <c r="Q147" s="4"/>
      <c r="R147" s="4"/>
      <c r="S147" s="4"/>
      <c r="T147" s="4"/>
      <c r="U147" s="4"/>
      <c r="V147" s="4"/>
      <c r="W147" s="4"/>
    </row>
    <row r="148" spans="1:23" ht="12.75">
      <c r="A148" s="4">
        <v>151</v>
      </c>
      <c r="B148" s="12"/>
      <c r="C148" s="94"/>
      <c r="D148" s="4"/>
      <c r="E148" s="4"/>
      <c r="F148" s="183"/>
      <c r="G148" s="230"/>
      <c r="H148" s="230"/>
      <c r="I148" s="4"/>
      <c r="J148" s="12"/>
      <c r="K148" s="4"/>
      <c r="L148" s="4"/>
      <c r="M148" s="4"/>
      <c r="N148" s="4"/>
      <c r="O148" s="4"/>
      <c r="P148" s="4"/>
      <c r="Q148" s="4"/>
      <c r="R148" s="4"/>
      <c r="S148" s="4"/>
      <c r="T148" s="4"/>
      <c r="U148" s="4"/>
      <c r="V148" s="4"/>
      <c r="W148" s="4"/>
    </row>
    <row r="149" spans="1:23" ht="12.75">
      <c r="A149" s="4">
        <v>152</v>
      </c>
      <c r="B149" s="12"/>
      <c r="C149" s="94"/>
      <c r="D149" s="510" t="s">
        <v>106</v>
      </c>
      <c r="E149" s="492"/>
      <c r="F149" s="183"/>
      <c r="G149" s="230"/>
      <c r="H149" s="230"/>
      <c r="I149" s="4"/>
      <c r="J149" s="12"/>
      <c r="K149" s="4"/>
      <c r="L149" s="4"/>
      <c r="M149" s="4"/>
      <c r="N149" s="4"/>
      <c r="O149" s="4"/>
      <c r="P149" s="4"/>
      <c r="Q149" s="4"/>
      <c r="R149" s="4"/>
      <c r="S149" s="4"/>
      <c r="T149" s="4"/>
      <c r="U149" s="4"/>
      <c r="V149" s="4"/>
      <c r="W149" s="4"/>
    </row>
    <row r="150" spans="1:23" ht="12.75">
      <c r="A150" s="4">
        <v>153</v>
      </c>
      <c r="B150" s="12"/>
      <c r="C150" s="94"/>
      <c r="D150" s="510" t="s">
        <v>354</v>
      </c>
      <c r="E150" s="510"/>
      <c r="F150" s="183"/>
      <c r="G150" s="230"/>
      <c r="H150" s="230"/>
      <c r="I150" s="4"/>
      <c r="J150" s="12"/>
      <c r="K150" s="4"/>
      <c r="L150" s="4"/>
      <c r="M150" s="4"/>
      <c r="N150" s="4"/>
      <c r="O150" s="4"/>
      <c r="P150" s="4"/>
      <c r="Q150" s="4"/>
      <c r="R150" s="4"/>
      <c r="S150" s="4"/>
      <c r="T150" s="4"/>
      <c r="U150" s="4"/>
      <c r="V150" s="4"/>
      <c r="W150" s="4"/>
    </row>
    <row r="151" spans="1:23" ht="12.75">
      <c r="A151" s="4">
        <v>154</v>
      </c>
      <c r="B151" s="12"/>
      <c r="C151" s="94"/>
      <c r="D151" s="510" t="s">
        <v>108</v>
      </c>
      <c r="E151" s="510"/>
      <c r="F151" s="183"/>
      <c r="G151" s="230"/>
      <c r="H151" s="230"/>
      <c r="I151" s="4"/>
      <c r="J151" s="12"/>
      <c r="K151" s="4"/>
      <c r="L151" s="4"/>
      <c r="M151" s="4"/>
      <c r="N151" s="4"/>
      <c r="O151" s="4"/>
      <c r="P151" s="4"/>
      <c r="Q151" s="4"/>
      <c r="R151" s="4"/>
      <c r="S151" s="4"/>
      <c r="T151" s="4"/>
      <c r="U151" s="4"/>
      <c r="V151" s="4"/>
      <c r="W151" s="4"/>
    </row>
    <row r="152" spans="1:23" ht="12.75">
      <c r="A152" s="4">
        <v>155</v>
      </c>
      <c r="B152" s="12"/>
      <c r="C152" s="94"/>
      <c r="D152" s="4"/>
      <c r="E152" s="4"/>
      <c r="F152" s="183"/>
      <c r="G152" s="230"/>
      <c r="H152" s="230"/>
      <c r="I152" s="4"/>
      <c r="J152" s="12"/>
      <c r="K152" s="4"/>
      <c r="L152" s="4"/>
      <c r="M152" s="4"/>
      <c r="N152" s="4"/>
      <c r="O152" s="4"/>
      <c r="P152" s="4"/>
      <c r="Q152" s="4"/>
      <c r="R152" s="4"/>
      <c r="S152" s="4"/>
      <c r="T152" s="4"/>
      <c r="U152" s="4"/>
      <c r="V152" s="4"/>
      <c r="W152" s="4"/>
    </row>
    <row r="153" spans="1:23" ht="12.75">
      <c r="A153" s="4">
        <v>156</v>
      </c>
      <c r="B153" s="12"/>
      <c r="C153" s="94"/>
      <c r="D153" s="259" t="s">
        <v>355</v>
      </c>
      <c r="E153" s="183"/>
      <c r="F153" s="183"/>
      <c r="G153" s="230"/>
      <c r="H153" s="230"/>
      <c r="I153" s="4"/>
      <c r="J153" s="12"/>
      <c r="K153" s="4"/>
      <c r="L153" s="4"/>
      <c r="M153" s="4"/>
      <c r="N153" s="4"/>
      <c r="O153" s="4"/>
      <c r="P153" s="4"/>
      <c r="Q153" s="4"/>
      <c r="R153" s="4"/>
      <c r="S153" s="4"/>
      <c r="T153" s="4"/>
      <c r="U153" s="4"/>
      <c r="V153" s="4"/>
      <c r="W153" s="4"/>
    </row>
    <row r="154" spans="1:23" ht="12.75">
      <c r="A154" s="4">
        <v>157</v>
      </c>
      <c r="B154" s="12"/>
      <c r="C154" s="94"/>
      <c r="D154" s="253" t="s">
        <v>433</v>
      </c>
      <c r="E154" s="167">
        <f>E55*0.03</f>
        <v>157423.5</v>
      </c>
      <c r="F154" s="183"/>
      <c r="G154" s="230"/>
      <c r="H154" s="230"/>
      <c r="I154" s="4"/>
      <c r="J154" s="12"/>
      <c r="K154" s="4"/>
      <c r="L154" s="4"/>
      <c r="M154" s="4"/>
      <c r="N154" s="4"/>
      <c r="O154" s="4"/>
      <c r="P154" s="4"/>
      <c r="Q154" s="4"/>
      <c r="R154" s="4"/>
      <c r="S154" s="4"/>
      <c r="T154" s="4"/>
      <c r="U154" s="4"/>
      <c r="V154" s="4"/>
      <c r="W154" s="4"/>
    </row>
    <row r="155" spans="1:23" ht="12.75">
      <c r="A155" s="4">
        <v>158</v>
      </c>
      <c r="B155" s="12"/>
      <c r="C155" s="94"/>
      <c r="D155" s="259" t="s">
        <v>356</v>
      </c>
      <c r="E155" s="165">
        <f>E154</f>
        <v>157423.5</v>
      </c>
      <c r="F155" s="183"/>
      <c r="G155" s="230"/>
      <c r="H155" s="230"/>
      <c r="I155" s="4"/>
      <c r="J155" s="12"/>
      <c r="K155" s="165"/>
      <c r="L155" s="4"/>
      <c r="M155" s="4"/>
      <c r="N155" s="4"/>
      <c r="O155" s="4"/>
      <c r="P155" s="4"/>
      <c r="Q155" s="4"/>
      <c r="R155" s="4"/>
      <c r="S155" s="4"/>
      <c r="T155" s="4"/>
      <c r="U155" s="4"/>
      <c r="V155" s="4"/>
      <c r="W155" s="4"/>
    </row>
    <row r="156" spans="1:23" ht="12.75">
      <c r="A156" s="4">
        <v>159</v>
      </c>
      <c r="B156" s="12"/>
      <c r="C156" s="94"/>
      <c r="D156" s="259"/>
      <c r="E156" s="250"/>
      <c r="F156" s="183"/>
      <c r="G156" s="230"/>
      <c r="H156" s="230"/>
      <c r="I156" s="4"/>
      <c r="J156" s="12"/>
      <c r="K156" s="165"/>
      <c r="L156" s="4"/>
      <c r="M156" s="4"/>
      <c r="N156" s="4"/>
      <c r="O156" s="4"/>
      <c r="P156" s="4"/>
      <c r="Q156" s="4"/>
      <c r="R156" s="4"/>
      <c r="S156" s="4"/>
      <c r="T156" s="4"/>
      <c r="U156" s="4"/>
      <c r="V156" s="4"/>
      <c r="W156" s="4"/>
    </row>
    <row r="157" spans="1:23" ht="12.75">
      <c r="A157" s="4">
        <v>160</v>
      </c>
      <c r="B157" s="12"/>
      <c r="C157" s="94"/>
      <c r="D157" s="259" t="s">
        <v>359</v>
      </c>
      <c r="E157" s="250"/>
      <c r="F157" s="183"/>
      <c r="G157" s="230"/>
      <c r="H157" s="230"/>
      <c r="I157" s="4"/>
      <c r="J157" s="12"/>
      <c r="K157" s="165"/>
      <c r="L157" s="4"/>
      <c r="M157" s="4"/>
      <c r="N157" s="4"/>
      <c r="O157" s="4"/>
      <c r="P157" s="4"/>
      <c r="Q157" s="4"/>
      <c r="R157" s="4"/>
      <c r="S157" s="4"/>
      <c r="T157" s="4"/>
      <c r="U157" s="4"/>
      <c r="V157" s="4"/>
      <c r="W157" s="4"/>
    </row>
    <row r="158" spans="1:23" ht="12.75">
      <c r="A158" s="4">
        <v>161</v>
      </c>
      <c r="B158" s="12"/>
      <c r="C158" s="94"/>
      <c r="D158" s="253" t="s">
        <v>446</v>
      </c>
      <c r="E158" s="165">
        <f>SUM(IncomeStatements!D19)</f>
        <v>50830</v>
      </c>
      <c r="F158" s="183"/>
      <c r="G158" s="230"/>
      <c r="H158" s="230"/>
      <c r="I158" s="4"/>
      <c r="J158" s="12"/>
      <c r="K158" s="250"/>
      <c r="L158" s="4"/>
      <c r="M158" s="4"/>
      <c r="N158" s="4"/>
      <c r="O158" s="4"/>
      <c r="P158" s="4"/>
      <c r="Q158" s="4"/>
      <c r="R158" s="4"/>
      <c r="S158" s="4"/>
      <c r="T158" s="4"/>
      <c r="U158" s="4"/>
      <c r="V158" s="4"/>
      <c r="W158" s="4"/>
    </row>
    <row r="159" spans="1:23" ht="12.75">
      <c r="A159" s="4">
        <v>162</v>
      </c>
      <c r="B159" s="12"/>
      <c r="C159" s="94"/>
      <c r="D159" s="253" t="s">
        <v>434</v>
      </c>
      <c r="E159" s="167">
        <f>E53*30</f>
        <v>105300</v>
      </c>
      <c r="F159" s="183"/>
      <c r="G159" s="230"/>
      <c r="H159" s="230"/>
      <c r="I159" s="4"/>
      <c r="J159" s="12"/>
      <c r="K159" s="250"/>
      <c r="L159" s="4"/>
      <c r="M159" s="4"/>
      <c r="N159" s="4"/>
      <c r="O159" s="4"/>
      <c r="P159" s="4"/>
      <c r="Q159" s="4"/>
      <c r="R159" s="4"/>
      <c r="S159" s="4"/>
      <c r="T159" s="4"/>
      <c r="U159" s="4"/>
      <c r="V159" s="4"/>
      <c r="W159" s="4"/>
    </row>
    <row r="160" spans="1:23" ht="12.75">
      <c r="A160" s="4">
        <v>163</v>
      </c>
      <c r="B160" s="12"/>
      <c r="C160" s="94"/>
      <c r="D160" s="259" t="s">
        <v>360</v>
      </c>
      <c r="E160" s="165">
        <f>E158+E159</f>
        <v>156130</v>
      </c>
      <c r="F160" s="183"/>
      <c r="G160" s="230"/>
      <c r="H160" s="230"/>
      <c r="I160" s="4"/>
      <c r="J160" s="12"/>
      <c r="K160" s="95"/>
      <c r="L160" s="4"/>
      <c r="M160" s="4"/>
      <c r="N160" s="4"/>
      <c r="O160" s="4"/>
      <c r="P160" s="4"/>
      <c r="Q160" s="4"/>
      <c r="R160" s="4"/>
      <c r="S160" s="4"/>
      <c r="T160" s="4"/>
      <c r="U160" s="4"/>
      <c r="V160" s="4"/>
      <c r="W160" s="4"/>
    </row>
    <row r="161" spans="1:23" ht="12.75">
      <c r="A161" s="4">
        <v>164</v>
      </c>
      <c r="B161" s="12"/>
      <c r="C161" s="94"/>
      <c r="D161" s="259"/>
      <c r="E161" s="250"/>
      <c r="F161" s="183"/>
      <c r="G161" s="230"/>
      <c r="H161" s="230"/>
      <c r="I161" s="4"/>
      <c r="J161" s="12"/>
      <c r="K161" s="165"/>
      <c r="L161" s="4"/>
      <c r="M161" s="4"/>
      <c r="N161" s="4"/>
      <c r="O161" s="4"/>
      <c r="P161" s="4"/>
      <c r="Q161" s="4"/>
      <c r="R161" s="4"/>
      <c r="S161" s="4"/>
      <c r="T161" s="4"/>
      <c r="U161" s="4"/>
      <c r="V161" s="4"/>
      <c r="W161" s="4"/>
    </row>
    <row r="162" spans="1:23" ht="12.75">
      <c r="A162" s="4">
        <v>165</v>
      </c>
      <c r="B162" s="12"/>
      <c r="C162" s="94"/>
      <c r="D162" s="261" t="s">
        <v>357</v>
      </c>
      <c r="E162" s="263"/>
      <c r="F162" s="183"/>
      <c r="G162" s="230"/>
      <c r="H162" s="230"/>
      <c r="I162" s="4"/>
      <c r="J162" s="12"/>
      <c r="K162" s="165"/>
      <c r="L162" s="4"/>
      <c r="M162" s="4"/>
      <c r="N162" s="4"/>
      <c r="O162" s="4"/>
      <c r="P162" s="4"/>
      <c r="Q162" s="4"/>
      <c r="R162" s="4"/>
      <c r="S162" s="4"/>
      <c r="T162" s="4"/>
      <c r="U162" s="4"/>
      <c r="V162" s="4"/>
      <c r="W162" s="4"/>
    </row>
    <row r="163" spans="1:23" ht="12.75">
      <c r="A163" s="4"/>
      <c r="B163" s="12"/>
      <c r="C163" s="94"/>
      <c r="D163" s="262" t="s">
        <v>432</v>
      </c>
      <c r="E163" s="165">
        <f>E241*0.02</f>
        <v>28412.475999999995</v>
      </c>
      <c r="F163" s="183"/>
      <c r="G163" s="230"/>
      <c r="H163" s="230"/>
      <c r="I163" s="4"/>
      <c r="J163" s="12"/>
      <c r="K163" s="165"/>
      <c r="L163" s="4"/>
      <c r="M163" s="4"/>
      <c r="N163" s="4"/>
      <c r="O163" s="4"/>
      <c r="P163" s="4"/>
      <c r="Q163" s="4"/>
      <c r="R163" s="4"/>
      <c r="S163" s="4"/>
      <c r="T163" s="4"/>
      <c r="U163" s="4"/>
      <c r="V163" s="4"/>
      <c r="W163" s="4"/>
    </row>
    <row r="164" spans="1:23" ht="12.75">
      <c r="A164" s="4"/>
      <c r="B164" s="12"/>
      <c r="C164" s="94"/>
      <c r="D164" s="262" t="s">
        <v>68</v>
      </c>
      <c r="E164" s="165">
        <f>SUM(IncomeStatements!D17)</f>
        <v>6000</v>
      </c>
      <c r="F164" s="183"/>
      <c r="G164" s="230"/>
      <c r="H164" s="230"/>
      <c r="I164" s="4"/>
      <c r="J164" s="12"/>
      <c r="K164" s="143"/>
      <c r="L164" s="4"/>
      <c r="M164" s="4"/>
      <c r="N164" s="4"/>
      <c r="O164" s="4"/>
      <c r="P164" s="4"/>
      <c r="Q164" s="4"/>
      <c r="R164" s="4"/>
      <c r="S164" s="4"/>
      <c r="T164" s="4"/>
      <c r="U164" s="4"/>
      <c r="V164" s="4"/>
      <c r="W164" s="4"/>
    </row>
    <row r="165" spans="1:23" ht="12.75">
      <c r="A165" s="4"/>
      <c r="B165" s="12"/>
      <c r="C165" s="94"/>
      <c r="D165" s="94" t="s">
        <v>78</v>
      </c>
      <c r="E165" s="165">
        <f>SUM(IncomeStatements!D24)</f>
        <v>170000</v>
      </c>
      <c r="F165" s="183"/>
      <c r="G165" s="230"/>
      <c r="H165" s="230"/>
      <c r="I165" s="4"/>
      <c r="J165" s="12"/>
      <c r="K165" s="143"/>
      <c r="L165" s="4"/>
      <c r="M165" s="4"/>
      <c r="N165" s="4"/>
      <c r="O165" s="4"/>
      <c r="P165" s="4"/>
      <c r="Q165" s="4"/>
      <c r="R165" s="4"/>
      <c r="S165" s="4"/>
      <c r="T165" s="4"/>
      <c r="U165" s="4"/>
      <c r="V165" s="4"/>
      <c r="W165" s="4"/>
    </row>
    <row r="166" spans="1:23" ht="12.75">
      <c r="A166" s="4"/>
      <c r="B166" s="12"/>
      <c r="C166" s="94"/>
      <c r="D166" s="94" t="s">
        <v>79</v>
      </c>
      <c r="E166" s="165">
        <f>SUM(IncomeStatements!D25)</f>
        <v>220000</v>
      </c>
      <c r="F166" s="183"/>
      <c r="G166" s="230"/>
      <c r="H166" s="230"/>
      <c r="I166" s="4"/>
      <c r="J166" s="12"/>
      <c r="K166" s="165"/>
      <c r="L166" s="4"/>
      <c r="M166" s="4"/>
      <c r="N166" s="4"/>
      <c r="O166" s="4"/>
      <c r="P166" s="4"/>
      <c r="Q166" s="4"/>
      <c r="R166" s="4"/>
      <c r="S166" s="4"/>
      <c r="T166" s="4"/>
      <c r="U166" s="4"/>
      <c r="V166" s="4"/>
      <c r="W166" s="4"/>
    </row>
    <row r="167" spans="1:23" ht="12.75">
      <c r="A167" s="4"/>
      <c r="B167" s="12"/>
      <c r="C167" s="94"/>
      <c r="D167" s="94" t="s">
        <v>80</v>
      </c>
      <c r="E167" s="165">
        <f>SUM(IncomeStatements!D26)</f>
        <v>29835</v>
      </c>
      <c r="F167" s="183"/>
      <c r="G167" s="230"/>
      <c r="H167" s="230"/>
      <c r="I167" s="4"/>
      <c r="J167" s="12"/>
      <c r="K167" s="143"/>
      <c r="L167" s="4"/>
      <c r="M167" s="4"/>
      <c r="N167" s="4"/>
      <c r="O167" s="4"/>
      <c r="P167" s="4"/>
      <c r="Q167" s="4"/>
      <c r="R167" s="4"/>
      <c r="S167" s="4"/>
      <c r="T167" s="4"/>
      <c r="U167" s="4"/>
      <c r="V167" s="4"/>
      <c r="W167" s="4"/>
    </row>
    <row r="168" spans="1:23" ht="12.75">
      <c r="A168" s="4"/>
      <c r="B168" s="12"/>
      <c r="C168" s="94"/>
      <c r="D168" s="94" t="s">
        <v>73</v>
      </c>
      <c r="E168" s="165">
        <f>SUM(IncomeStatements!D27)</f>
        <v>150000</v>
      </c>
      <c r="F168" s="183"/>
      <c r="G168" s="230"/>
      <c r="H168" s="230"/>
      <c r="I168" s="4"/>
      <c r="J168" s="12"/>
      <c r="K168" s="143"/>
      <c r="L168" s="4"/>
      <c r="M168" s="4"/>
      <c r="N168" s="4"/>
      <c r="O168" s="4"/>
      <c r="P168" s="4"/>
      <c r="Q168" s="4"/>
      <c r="R168" s="4"/>
      <c r="S168" s="4"/>
      <c r="T168" s="4"/>
      <c r="U168" s="4"/>
      <c r="V168" s="4"/>
      <c r="W168" s="4"/>
    </row>
    <row r="169" spans="1:23" ht="12.75">
      <c r="A169" s="4"/>
      <c r="B169" s="12"/>
      <c r="C169" s="94"/>
      <c r="D169" s="94" t="s">
        <v>74</v>
      </c>
      <c r="E169" s="165">
        <f>SUM(IncomeStatements!D28)</f>
        <v>33000</v>
      </c>
      <c r="F169" s="183"/>
      <c r="G169" s="230"/>
      <c r="H169" s="230"/>
      <c r="I169" s="4"/>
      <c r="J169" s="12"/>
      <c r="K169" s="143"/>
      <c r="L169" s="4"/>
      <c r="M169" s="4"/>
      <c r="N169" s="4"/>
      <c r="O169" s="4"/>
      <c r="P169" s="4"/>
      <c r="Q169" s="4"/>
      <c r="R169" s="4"/>
      <c r="S169" s="4"/>
      <c r="T169" s="4"/>
      <c r="U169" s="4"/>
      <c r="V169" s="4"/>
      <c r="W169" s="4"/>
    </row>
    <row r="170" spans="1:23" ht="12.75">
      <c r="A170" s="4"/>
      <c r="B170" s="12"/>
      <c r="C170" s="94"/>
      <c r="D170" s="94" t="s">
        <v>81</v>
      </c>
      <c r="E170" s="165">
        <f>E241*0.06</f>
        <v>85237.42799999999</v>
      </c>
      <c r="F170" s="183"/>
      <c r="G170" s="230"/>
      <c r="H170" s="230"/>
      <c r="I170" s="4"/>
      <c r="J170" s="12"/>
      <c r="K170" s="143"/>
      <c r="L170" s="4"/>
      <c r="M170" s="4"/>
      <c r="N170" s="4"/>
      <c r="O170" s="4"/>
      <c r="P170" s="4"/>
      <c r="Q170" s="4"/>
      <c r="R170" s="4"/>
      <c r="S170" s="4"/>
      <c r="T170" s="4"/>
      <c r="U170" s="4"/>
      <c r="V170" s="4"/>
      <c r="W170" s="4"/>
    </row>
    <row r="171" spans="1:23" ht="12.75">
      <c r="A171" s="4"/>
      <c r="B171" s="12"/>
      <c r="C171" s="94"/>
      <c r="D171" s="94" t="s">
        <v>84</v>
      </c>
      <c r="E171" s="165">
        <v>80000</v>
      </c>
      <c r="F171" s="183"/>
      <c r="G171" s="230"/>
      <c r="H171" s="230"/>
      <c r="I171" s="4"/>
      <c r="J171" s="12"/>
      <c r="K171" s="165"/>
      <c r="L171" s="4"/>
      <c r="M171" s="4"/>
      <c r="N171" s="4"/>
      <c r="O171" s="4"/>
      <c r="P171" s="4"/>
      <c r="Q171" s="4"/>
      <c r="R171" s="4"/>
      <c r="S171" s="4"/>
      <c r="T171" s="4"/>
      <c r="U171" s="4"/>
      <c r="V171" s="4"/>
      <c r="W171" s="4"/>
    </row>
    <row r="172" spans="1:23" ht="12.75">
      <c r="A172" s="4"/>
      <c r="B172" s="12"/>
      <c r="C172" s="94"/>
      <c r="D172" s="94" t="s">
        <v>75</v>
      </c>
      <c r="E172" s="165">
        <f>SUM(IncomeStatements!D31)</f>
        <v>170000</v>
      </c>
      <c r="F172" s="183"/>
      <c r="G172" s="230"/>
      <c r="H172" s="230"/>
      <c r="I172" s="4"/>
      <c r="J172" s="12"/>
      <c r="K172" s="143"/>
      <c r="L172" s="4"/>
      <c r="M172" s="4"/>
      <c r="N172" s="4"/>
      <c r="O172" s="4"/>
      <c r="P172" s="4"/>
      <c r="Q172" s="4"/>
      <c r="R172" s="4"/>
      <c r="S172" s="4"/>
      <c r="T172" s="4"/>
      <c r="U172" s="4"/>
      <c r="V172" s="4"/>
      <c r="W172" s="4"/>
    </row>
    <row r="173" spans="1:23" ht="12.75">
      <c r="A173" s="4"/>
      <c r="B173" s="12"/>
      <c r="C173" s="94"/>
      <c r="D173" s="262" t="s">
        <v>447</v>
      </c>
      <c r="E173" s="407">
        <v>54000</v>
      </c>
      <c r="F173" s="183"/>
      <c r="G173" s="230"/>
      <c r="H173" s="230"/>
      <c r="I173" s="4"/>
      <c r="J173" s="12"/>
      <c r="K173" s="143"/>
      <c r="L173" s="4"/>
      <c r="M173" s="4"/>
      <c r="N173" s="4"/>
      <c r="O173" s="4"/>
      <c r="P173" s="4"/>
      <c r="Q173" s="4"/>
      <c r="R173" s="4"/>
      <c r="S173" s="4"/>
      <c r="T173" s="4"/>
      <c r="U173" s="4"/>
      <c r="V173" s="4"/>
      <c r="W173" s="4"/>
    </row>
    <row r="174" spans="1:23" ht="12.75">
      <c r="A174" s="4"/>
      <c r="B174" s="12"/>
      <c r="C174" s="94"/>
      <c r="D174" s="262"/>
      <c r="E174" s="167"/>
      <c r="F174" s="183"/>
      <c r="G174" s="230"/>
      <c r="H174" s="230"/>
      <c r="I174" s="4"/>
      <c r="J174" s="12"/>
      <c r="K174" s="165"/>
      <c r="L174" s="4"/>
      <c r="M174" s="4"/>
      <c r="N174" s="4"/>
      <c r="O174" s="4"/>
      <c r="P174" s="4"/>
      <c r="Q174" s="4"/>
      <c r="R174" s="4"/>
      <c r="S174" s="4"/>
      <c r="T174" s="4"/>
      <c r="U174" s="4"/>
      <c r="V174" s="4"/>
      <c r="W174" s="4"/>
    </row>
    <row r="175" spans="1:23" ht="12.75">
      <c r="A175" s="4"/>
      <c r="B175" s="12"/>
      <c r="C175" s="94"/>
      <c r="D175" s="261" t="s">
        <v>358</v>
      </c>
      <c r="E175" s="165">
        <f>SUM(E163:E174)</f>
        <v>1026484.904</v>
      </c>
      <c r="F175" s="183"/>
      <c r="G175" s="230"/>
      <c r="H175" s="230"/>
      <c r="I175" s="4"/>
      <c r="J175" s="12"/>
      <c r="K175" s="143"/>
      <c r="L175" s="4"/>
      <c r="M175" s="4"/>
      <c r="N175" s="4"/>
      <c r="O175" s="4"/>
      <c r="P175" s="4"/>
      <c r="Q175" s="4"/>
      <c r="R175" s="4"/>
      <c r="S175" s="4"/>
      <c r="T175" s="4"/>
      <c r="U175" s="4"/>
      <c r="V175" s="4"/>
      <c r="W175" s="4"/>
    </row>
    <row r="176" spans="1:23" ht="12.75">
      <c r="A176" s="4"/>
      <c r="B176" s="12"/>
      <c r="C176" s="94"/>
      <c r="D176" s="4"/>
      <c r="E176" s="250"/>
      <c r="F176" s="183"/>
      <c r="G176" s="230"/>
      <c r="H176" s="230"/>
      <c r="I176" s="4"/>
      <c r="J176" s="12"/>
      <c r="K176" s="143"/>
      <c r="L176" s="4"/>
      <c r="M176" s="4"/>
      <c r="N176" s="4"/>
      <c r="O176" s="4"/>
      <c r="P176" s="4"/>
      <c r="Q176" s="4"/>
      <c r="R176" s="4"/>
      <c r="S176" s="4"/>
      <c r="T176" s="4"/>
      <c r="U176" s="4"/>
      <c r="V176" s="4"/>
      <c r="W176" s="4"/>
    </row>
    <row r="177" spans="1:23" ht="12.75">
      <c r="A177" s="4"/>
      <c r="B177" s="12"/>
      <c r="C177" s="94"/>
      <c r="D177" s="261" t="s">
        <v>99</v>
      </c>
      <c r="E177" s="161">
        <f>E155+E160+E175</f>
        <v>1340038.404</v>
      </c>
      <c r="F177" s="183"/>
      <c r="G177" s="230"/>
      <c r="H177" s="230"/>
      <c r="I177" s="4"/>
      <c r="J177" s="12"/>
      <c r="K177" s="165"/>
      <c r="L177" s="4"/>
      <c r="M177" s="4"/>
      <c r="N177" s="4"/>
      <c r="O177" s="4"/>
      <c r="P177" s="4"/>
      <c r="Q177" s="4"/>
      <c r="R177" s="4"/>
      <c r="S177" s="4"/>
      <c r="T177" s="4"/>
      <c r="U177" s="4"/>
      <c r="V177" s="4"/>
      <c r="W177" s="4"/>
    </row>
    <row r="178" spans="1:23" ht="12.75">
      <c r="A178" s="4">
        <v>181</v>
      </c>
      <c r="B178" s="12"/>
      <c r="C178" s="94"/>
      <c r="D178" s="94" t="s">
        <v>348</v>
      </c>
      <c r="E178" s="167">
        <f>E171</f>
        <v>80000</v>
      </c>
      <c r="F178" s="183"/>
      <c r="G178" s="230"/>
      <c r="H178" s="230"/>
      <c r="I178" s="4"/>
      <c r="J178" s="12"/>
      <c r="K178" s="143"/>
      <c r="L178" s="4"/>
      <c r="M178" s="4"/>
      <c r="N178" s="4"/>
      <c r="O178" s="4"/>
      <c r="P178" s="4"/>
      <c r="Q178" s="4"/>
      <c r="R178" s="4"/>
      <c r="S178" s="4"/>
      <c r="T178" s="4"/>
      <c r="U178" s="4"/>
      <c r="V178" s="4"/>
      <c r="W178" s="4"/>
    </row>
    <row r="179" spans="1:23" ht="13.5" thickBot="1">
      <c r="A179" s="4">
        <v>182</v>
      </c>
      <c r="B179" s="12"/>
      <c r="C179" s="94"/>
      <c r="D179" s="94" t="s">
        <v>349</v>
      </c>
      <c r="E179" s="170">
        <f>E177-E178</f>
        <v>1260038.404</v>
      </c>
      <c r="F179" s="183"/>
      <c r="G179" s="230"/>
      <c r="H179" s="230"/>
      <c r="I179" s="4"/>
      <c r="J179" s="12"/>
      <c r="K179" s="165"/>
      <c r="L179" s="4"/>
      <c r="M179" s="4"/>
      <c r="N179" s="4"/>
      <c r="O179" s="4"/>
      <c r="P179" s="4"/>
      <c r="Q179" s="4"/>
      <c r="R179" s="4"/>
      <c r="S179" s="4"/>
      <c r="T179" s="4"/>
      <c r="U179" s="4"/>
      <c r="V179" s="4"/>
      <c r="W179" s="4"/>
    </row>
    <row r="180" spans="1:23" ht="13.5" thickTop="1">
      <c r="A180" s="4">
        <v>183</v>
      </c>
      <c r="B180" s="12"/>
      <c r="C180" s="94"/>
      <c r="D180" s="4"/>
      <c r="E180" s="4"/>
      <c r="F180" s="183"/>
      <c r="G180" s="230"/>
      <c r="H180" s="230"/>
      <c r="I180" s="4"/>
      <c r="J180" s="12"/>
      <c r="K180" s="165"/>
      <c r="L180" s="4"/>
      <c r="M180" s="4"/>
      <c r="N180" s="4"/>
      <c r="O180" s="4"/>
      <c r="P180" s="4"/>
      <c r="Q180" s="4"/>
      <c r="R180" s="4"/>
      <c r="S180" s="4"/>
      <c r="T180" s="4"/>
      <c r="U180" s="4"/>
      <c r="V180" s="4"/>
      <c r="W180" s="4"/>
    </row>
    <row r="181" spans="1:23" ht="12.75">
      <c r="A181" s="4">
        <v>184</v>
      </c>
      <c r="B181" s="12"/>
      <c r="C181" s="94"/>
      <c r="D181" s="4"/>
      <c r="E181" s="4"/>
      <c r="F181" s="183"/>
      <c r="G181" s="230"/>
      <c r="H181" s="230"/>
      <c r="I181" s="4"/>
      <c r="J181" s="12"/>
      <c r="K181" s="165"/>
      <c r="L181" s="4"/>
      <c r="M181" s="4"/>
      <c r="N181" s="4"/>
      <c r="O181" s="4"/>
      <c r="P181" s="4"/>
      <c r="Q181" s="4"/>
      <c r="R181" s="4"/>
      <c r="S181" s="4"/>
      <c r="T181" s="4"/>
      <c r="U181" s="4"/>
      <c r="V181" s="4"/>
      <c r="W181" s="4"/>
    </row>
    <row r="182" spans="1:23" ht="12.75">
      <c r="A182" s="4">
        <v>185</v>
      </c>
      <c r="B182" s="12"/>
      <c r="C182" s="94"/>
      <c r="D182" s="350" t="s">
        <v>106</v>
      </c>
      <c r="E182" s="350"/>
      <c r="F182" s="350"/>
      <c r="G182" s="350"/>
      <c r="H182" s="350"/>
      <c r="I182" s="4"/>
      <c r="J182" s="12"/>
      <c r="K182" s="4"/>
      <c r="L182" s="4"/>
      <c r="M182" s="4"/>
      <c r="N182" s="4"/>
      <c r="O182" s="4"/>
      <c r="P182" s="4"/>
      <c r="Q182" s="4"/>
      <c r="R182" s="4"/>
      <c r="S182" s="4"/>
      <c r="T182" s="4"/>
      <c r="U182" s="4"/>
      <c r="V182" s="4"/>
      <c r="W182" s="4"/>
    </row>
    <row r="183" spans="1:23" ht="12.75">
      <c r="A183" s="4">
        <v>186</v>
      </c>
      <c r="B183" s="12"/>
      <c r="C183" s="94"/>
      <c r="D183" s="350" t="s">
        <v>101</v>
      </c>
      <c r="E183" s="350"/>
      <c r="F183" s="350"/>
      <c r="G183" s="350"/>
      <c r="H183" s="350"/>
      <c r="I183" s="4"/>
      <c r="J183" s="12"/>
      <c r="K183" s="4"/>
      <c r="L183" s="4"/>
      <c r="M183" s="4"/>
      <c r="N183" s="4"/>
      <c r="O183" s="4"/>
      <c r="P183" s="4"/>
      <c r="Q183" s="4"/>
      <c r="R183" s="4"/>
      <c r="S183" s="4"/>
      <c r="T183" s="4"/>
      <c r="U183" s="4"/>
      <c r="V183" s="4"/>
      <c r="W183" s="4"/>
    </row>
    <row r="184" spans="1:23" ht="12.75">
      <c r="A184" s="4">
        <v>187</v>
      </c>
      <c r="B184" s="12"/>
      <c r="C184" s="94"/>
      <c r="D184" s="354" t="s">
        <v>108</v>
      </c>
      <c r="E184" s="350"/>
      <c r="F184" s="350"/>
      <c r="G184" s="350"/>
      <c r="H184" s="350"/>
      <c r="I184" s="4"/>
      <c r="J184" s="12"/>
      <c r="K184" s="4"/>
      <c r="L184" s="4"/>
      <c r="M184" s="4"/>
      <c r="N184" s="4"/>
      <c r="O184" s="4"/>
      <c r="P184" s="4"/>
      <c r="Q184" s="4"/>
      <c r="R184" s="4"/>
      <c r="S184" s="4"/>
      <c r="T184" s="4"/>
      <c r="U184" s="4"/>
      <c r="V184" s="4"/>
      <c r="W184" s="4"/>
    </row>
    <row r="185" spans="1:23" ht="12.75">
      <c r="A185" s="4">
        <v>188</v>
      </c>
      <c r="B185" s="12"/>
      <c r="C185" s="94"/>
      <c r="D185" s="354"/>
      <c r="E185" s="353"/>
      <c r="F185" s="353"/>
      <c r="G185" s="353"/>
      <c r="H185" s="353"/>
      <c r="I185" s="4"/>
      <c r="J185" s="12"/>
      <c r="K185" s="4"/>
      <c r="L185" s="4"/>
      <c r="M185" s="4"/>
      <c r="N185" s="4"/>
      <c r="O185" s="4"/>
      <c r="P185" s="4"/>
      <c r="Q185" s="4"/>
      <c r="R185" s="4"/>
      <c r="S185" s="4"/>
      <c r="T185" s="4"/>
      <c r="U185" s="4"/>
      <c r="V185" s="4"/>
      <c r="W185" s="4"/>
    </row>
    <row r="186" spans="1:23" ht="12.75">
      <c r="A186" s="4">
        <v>189</v>
      </c>
      <c r="B186" s="12"/>
      <c r="C186" s="94"/>
      <c r="D186" s="259" t="s">
        <v>363</v>
      </c>
      <c r="E186" s="249"/>
      <c r="F186" s="249"/>
      <c r="G186" s="249" t="s">
        <v>2</v>
      </c>
      <c r="H186" s="249"/>
      <c r="I186" s="4"/>
      <c r="J186" s="12"/>
      <c r="K186" s="4"/>
      <c r="L186" s="4"/>
      <c r="M186" s="4"/>
      <c r="N186" s="4"/>
      <c r="O186" s="4"/>
      <c r="P186" s="4"/>
      <c r="Q186" s="4"/>
      <c r="R186" s="4"/>
      <c r="S186" s="4"/>
      <c r="T186" s="4"/>
      <c r="U186" s="4"/>
      <c r="V186" s="4"/>
      <c r="W186" s="4"/>
    </row>
    <row r="187" spans="1:23" ht="12.75">
      <c r="A187" s="4">
        <v>190</v>
      </c>
      <c r="B187" s="12"/>
      <c r="C187" s="94"/>
      <c r="D187" s="365" t="s">
        <v>362</v>
      </c>
      <c r="E187" s="165">
        <f>E63</f>
        <v>5227716</v>
      </c>
      <c r="F187" s="183"/>
      <c r="G187" s="230"/>
      <c r="H187" s="230"/>
      <c r="I187" s="4"/>
      <c r="J187" s="12"/>
      <c r="K187" s="4"/>
      <c r="L187" s="4"/>
      <c r="M187" s="4"/>
      <c r="N187" s="4"/>
      <c r="O187" s="4"/>
      <c r="P187" s="4"/>
      <c r="Q187" s="4"/>
      <c r="R187" s="4"/>
      <c r="S187" s="4"/>
      <c r="T187" s="4"/>
      <c r="U187" s="4"/>
      <c r="V187" s="4"/>
      <c r="W187" s="4"/>
    </row>
    <row r="188" spans="1:23" ht="12.75">
      <c r="A188" s="4">
        <v>191</v>
      </c>
      <c r="B188" s="12"/>
      <c r="C188" s="94"/>
      <c r="D188" s="365" t="s">
        <v>366</v>
      </c>
      <c r="E188" s="167">
        <f>SUM(IncomeStatements!D38)</f>
        <v>5600</v>
      </c>
      <c r="F188" s="183"/>
      <c r="G188" s="230"/>
      <c r="H188" s="230"/>
      <c r="I188" s="4"/>
      <c r="J188" s="12"/>
      <c r="K188" s="4"/>
      <c r="L188" s="4"/>
      <c r="M188" s="4"/>
      <c r="N188" s="4"/>
      <c r="O188" s="4"/>
      <c r="P188" s="4"/>
      <c r="Q188" s="4"/>
      <c r="R188" s="4"/>
      <c r="S188" s="4"/>
      <c r="T188" s="4"/>
      <c r="U188" s="4"/>
      <c r="V188" s="4"/>
      <c r="W188" s="4"/>
    </row>
    <row r="189" spans="1:23" ht="12.75">
      <c r="A189" s="4">
        <v>192</v>
      </c>
      <c r="B189" s="12"/>
      <c r="C189" s="94"/>
      <c r="D189" s="94"/>
      <c r="E189" s="165">
        <f>E187+E188</f>
        <v>5233316</v>
      </c>
      <c r="F189" s="183"/>
      <c r="G189" s="230"/>
      <c r="H189" s="230"/>
      <c r="I189" s="4"/>
      <c r="J189" s="12"/>
      <c r="K189" s="4"/>
      <c r="L189" s="4"/>
      <c r="M189" s="4"/>
      <c r="N189" s="4"/>
      <c r="O189" s="4"/>
      <c r="P189" s="4"/>
      <c r="Q189" s="4"/>
      <c r="R189" s="4"/>
      <c r="S189" s="4"/>
      <c r="T189" s="4"/>
      <c r="U189" s="4"/>
      <c r="V189" s="4"/>
      <c r="W189" s="4"/>
    </row>
    <row r="190" spans="1:23" ht="12.75">
      <c r="A190" s="4">
        <v>193</v>
      </c>
      <c r="B190" s="12"/>
      <c r="C190" s="94"/>
      <c r="D190" s="93" t="s">
        <v>364</v>
      </c>
      <c r="E190" s="161"/>
      <c r="F190" s="254"/>
      <c r="G190" s="252"/>
      <c r="H190" s="251"/>
      <c r="I190" s="4"/>
      <c r="J190" s="12"/>
      <c r="K190" s="4"/>
      <c r="L190" s="4"/>
      <c r="M190" s="4"/>
      <c r="N190" s="4"/>
      <c r="O190" s="4"/>
      <c r="P190" s="4"/>
      <c r="Q190" s="4"/>
      <c r="R190" s="4"/>
      <c r="S190" s="4"/>
      <c r="T190" s="4"/>
      <c r="U190" s="4"/>
      <c r="V190" s="4"/>
      <c r="W190" s="4"/>
    </row>
    <row r="191" spans="1:23" ht="12.75">
      <c r="A191" s="4">
        <v>194</v>
      </c>
      <c r="B191" s="12"/>
      <c r="C191" s="94"/>
      <c r="D191" s="364" t="s">
        <v>368</v>
      </c>
      <c r="E191" s="161">
        <f>E109</f>
        <v>2324025.4000000004</v>
      </c>
      <c r="F191" s="172" t="s">
        <v>445</v>
      </c>
      <c r="G191" s="228"/>
      <c r="H191" s="228"/>
      <c r="I191" s="4"/>
      <c r="J191" s="12"/>
      <c r="K191" s="4"/>
      <c r="L191" s="4"/>
      <c r="M191" s="4"/>
      <c r="N191" s="4"/>
      <c r="O191" s="4"/>
      <c r="P191" s="4"/>
      <c r="Q191" s="4"/>
      <c r="R191" s="4"/>
      <c r="S191" s="4"/>
      <c r="T191" s="4"/>
      <c r="U191" s="4"/>
      <c r="V191" s="4"/>
      <c r="W191" s="4"/>
    </row>
    <row r="192" spans="1:23" ht="12.75">
      <c r="A192" s="4">
        <v>195</v>
      </c>
      <c r="B192" s="12"/>
      <c r="C192" s="94"/>
      <c r="D192" s="364" t="s">
        <v>168</v>
      </c>
      <c r="E192" s="398">
        <f>E119</f>
        <v>1053000</v>
      </c>
      <c r="F192" s="172" t="s">
        <v>445</v>
      </c>
      <c r="G192" s="228"/>
      <c r="H192" s="228"/>
      <c r="I192" s="4"/>
      <c r="J192" s="12"/>
      <c r="K192" s="4"/>
      <c r="L192" s="4"/>
      <c r="M192" s="4"/>
      <c r="N192" s="4"/>
      <c r="O192" s="4"/>
      <c r="P192" s="4"/>
      <c r="Q192" s="4"/>
      <c r="R192" s="4"/>
      <c r="S192" s="4"/>
      <c r="T192" s="4"/>
      <c r="U192" s="4"/>
      <c r="V192" s="4"/>
      <c r="W192" s="4"/>
    </row>
    <row r="193" spans="1:23" ht="12.75">
      <c r="A193" s="4">
        <v>196</v>
      </c>
      <c r="B193" s="12"/>
      <c r="C193" s="94"/>
      <c r="D193" s="365" t="s">
        <v>258</v>
      </c>
      <c r="E193" s="399">
        <f>E146</f>
        <v>331798</v>
      </c>
      <c r="F193" s="255"/>
      <c r="G193" s="228"/>
      <c r="H193" s="228"/>
      <c r="I193" s="4"/>
      <c r="J193" s="12"/>
      <c r="K193" s="4"/>
      <c r="L193" s="4"/>
      <c r="M193" s="4"/>
      <c r="N193" s="4"/>
      <c r="O193" s="4"/>
      <c r="P193" s="4"/>
      <c r="Q193" s="4"/>
      <c r="R193" s="4"/>
      <c r="S193" s="4"/>
      <c r="T193" s="4"/>
      <c r="U193" s="4"/>
      <c r="V193" s="4"/>
      <c r="W193" s="4"/>
    </row>
    <row r="194" spans="1:23" ht="12.75">
      <c r="A194" s="4">
        <v>197</v>
      </c>
      <c r="B194" s="12"/>
      <c r="C194" s="94"/>
      <c r="D194" s="364" t="s">
        <v>406</v>
      </c>
      <c r="E194" s="165">
        <f>E179</f>
        <v>1260038.404</v>
      </c>
      <c r="F194" s="255"/>
      <c r="G194" s="228"/>
      <c r="H194" s="228"/>
      <c r="I194" s="4"/>
      <c r="J194" s="12"/>
      <c r="K194" s="4"/>
      <c r="L194" s="4"/>
      <c r="M194" s="4"/>
      <c r="N194" s="4"/>
      <c r="O194" s="4"/>
      <c r="P194" s="4"/>
      <c r="Q194" s="4"/>
      <c r="R194" s="4"/>
      <c r="S194" s="4"/>
      <c r="T194" s="4"/>
      <c r="U194" s="4"/>
      <c r="V194" s="4"/>
      <c r="W194" s="4"/>
    </row>
    <row r="195" spans="1:23" ht="12.75">
      <c r="A195" s="4"/>
      <c r="B195" s="12"/>
      <c r="C195" s="94"/>
      <c r="D195" s="94" t="s">
        <v>457</v>
      </c>
      <c r="E195" s="165">
        <v>100000</v>
      </c>
      <c r="F195" s="255"/>
      <c r="G195" s="228"/>
      <c r="H195" s="228"/>
      <c r="I195" s="4"/>
      <c r="J195" s="12"/>
      <c r="K195" s="4"/>
      <c r="L195" s="4"/>
      <c r="M195" s="4"/>
      <c r="N195" s="4"/>
      <c r="O195" s="4"/>
      <c r="P195" s="4"/>
      <c r="Q195" s="4"/>
      <c r="R195" s="4"/>
      <c r="S195" s="4"/>
      <c r="T195" s="4"/>
      <c r="U195" s="4"/>
      <c r="V195" s="4"/>
      <c r="W195" s="4"/>
    </row>
    <row r="196" spans="1:23" ht="12.75">
      <c r="A196" s="4"/>
      <c r="B196" s="12"/>
      <c r="C196" s="94"/>
      <c r="D196" s="94" t="s">
        <v>458</v>
      </c>
      <c r="E196" s="165">
        <v>5000</v>
      </c>
      <c r="F196" s="255"/>
      <c r="G196" s="228"/>
      <c r="H196" s="228"/>
      <c r="I196" s="4"/>
      <c r="J196" s="12"/>
      <c r="K196" s="4"/>
      <c r="L196" s="4"/>
      <c r="M196" s="4"/>
      <c r="N196" s="4"/>
      <c r="O196" s="4"/>
      <c r="P196" s="4"/>
      <c r="Q196" s="4"/>
      <c r="R196" s="4"/>
      <c r="S196" s="4"/>
      <c r="T196" s="4"/>
      <c r="U196" s="4"/>
      <c r="V196" s="4"/>
      <c r="W196" s="4"/>
    </row>
    <row r="197" spans="1:23" ht="12.75">
      <c r="A197" s="4">
        <v>208</v>
      </c>
      <c r="B197" s="12"/>
      <c r="C197" s="94"/>
      <c r="D197" s="94" t="s">
        <v>448</v>
      </c>
      <c r="E197" s="165">
        <v>50000</v>
      </c>
      <c r="F197" s="255"/>
      <c r="G197" s="228"/>
      <c r="H197" s="228"/>
      <c r="I197" s="4"/>
      <c r="J197" s="12"/>
      <c r="K197" s="4"/>
      <c r="L197" s="4"/>
      <c r="M197" s="4"/>
      <c r="N197" s="4"/>
      <c r="O197" s="4"/>
      <c r="P197" s="4"/>
      <c r="Q197" s="4"/>
      <c r="R197" s="4"/>
      <c r="S197" s="4"/>
      <c r="T197" s="4"/>
      <c r="U197" s="4"/>
      <c r="V197" s="4"/>
      <c r="W197" s="4"/>
    </row>
    <row r="198" spans="1:23" ht="13.5" thickBot="1">
      <c r="A198" s="4">
        <v>209</v>
      </c>
      <c r="B198" s="12"/>
      <c r="C198" s="94"/>
      <c r="D198" s="94" t="s">
        <v>365</v>
      </c>
      <c r="E198" s="170">
        <f>SUM(E191:E197)</f>
        <v>5123861.8040000005</v>
      </c>
      <c r="F198" s="255"/>
      <c r="G198" s="228"/>
      <c r="H198" s="228"/>
      <c r="I198" s="4"/>
      <c r="J198" s="12"/>
      <c r="K198" s="4"/>
      <c r="L198" s="4"/>
      <c r="M198" s="4"/>
      <c r="N198" s="4"/>
      <c r="O198" s="4"/>
      <c r="P198" s="4"/>
      <c r="Q198" s="4"/>
      <c r="R198" s="4"/>
      <c r="S198" s="4"/>
      <c r="T198" s="4"/>
      <c r="U198" s="4"/>
      <c r="V198" s="4"/>
      <c r="W198" s="4"/>
    </row>
    <row r="199" spans="1:23" ht="13.5" thickTop="1">
      <c r="A199" s="4">
        <v>210</v>
      </c>
      <c r="B199" s="12"/>
      <c r="C199" s="94"/>
      <c r="D199" s="94"/>
      <c r="E199" s="165"/>
      <c r="F199" s="255"/>
      <c r="G199" s="228"/>
      <c r="H199" s="228"/>
      <c r="I199" s="4"/>
      <c r="J199" s="12"/>
      <c r="K199" s="4"/>
      <c r="L199" s="4"/>
      <c r="M199" s="4"/>
      <c r="N199" s="4"/>
      <c r="O199" s="4"/>
      <c r="P199" s="4"/>
      <c r="Q199" s="4"/>
      <c r="R199" s="4"/>
      <c r="S199" s="4"/>
      <c r="T199" s="4"/>
      <c r="U199" s="4"/>
      <c r="V199" s="4"/>
      <c r="W199" s="4"/>
    </row>
    <row r="200" spans="1:23" ht="12.75">
      <c r="A200" s="4">
        <v>211</v>
      </c>
      <c r="B200" s="12"/>
      <c r="C200" s="94"/>
      <c r="D200" s="94"/>
      <c r="E200" s="165"/>
      <c r="F200" s="172"/>
      <c r="G200" s="232"/>
      <c r="H200" s="232"/>
      <c r="I200" s="4"/>
      <c r="J200" s="12"/>
      <c r="K200" s="4"/>
      <c r="L200" s="4"/>
      <c r="M200" s="4"/>
      <c r="N200" s="4"/>
      <c r="O200" s="4"/>
      <c r="P200" s="4"/>
      <c r="Q200" s="4"/>
      <c r="R200" s="4"/>
      <c r="S200" s="4"/>
      <c r="T200" s="4"/>
      <c r="U200" s="4"/>
      <c r="V200" s="4"/>
      <c r="W200" s="4"/>
    </row>
    <row r="201" spans="1:23" ht="12.75">
      <c r="A201" s="4">
        <v>212</v>
      </c>
      <c r="B201" s="12"/>
      <c r="C201" s="94"/>
      <c r="D201" s="233" t="s">
        <v>103</v>
      </c>
      <c r="E201" s="165">
        <f>E189-E198</f>
        <v>109454.19599999953</v>
      </c>
      <c r="F201" s="172"/>
      <c r="G201" s="228"/>
      <c r="H201" s="232"/>
      <c r="I201" s="4"/>
      <c r="J201" s="12"/>
      <c r="K201" s="4"/>
      <c r="L201" s="4"/>
      <c r="M201" s="4"/>
      <c r="N201" s="4"/>
      <c r="O201" s="4"/>
      <c r="P201" s="4"/>
      <c r="Q201" s="4"/>
      <c r="R201" s="4"/>
      <c r="S201" s="4"/>
      <c r="T201" s="4"/>
      <c r="U201" s="4"/>
      <c r="V201" s="4"/>
      <c r="W201" s="4"/>
    </row>
    <row r="202" spans="1:23" ht="12.75">
      <c r="A202" s="4">
        <v>213</v>
      </c>
      <c r="B202" s="12"/>
      <c r="C202" s="94"/>
      <c r="D202" s="94" t="s">
        <v>460</v>
      </c>
      <c r="E202" s="165">
        <f>E11</f>
        <v>445023.5</v>
      </c>
      <c r="F202" s="172"/>
      <c r="G202" s="228"/>
      <c r="H202" s="232"/>
      <c r="I202" s="4"/>
      <c r="J202" s="12"/>
      <c r="K202" s="4"/>
      <c r="L202" s="4"/>
      <c r="M202" s="4"/>
      <c r="N202" s="4"/>
      <c r="O202" s="4"/>
      <c r="P202" s="4"/>
      <c r="Q202" s="4"/>
      <c r="R202" s="4"/>
      <c r="S202" s="4"/>
      <c r="T202" s="4"/>
      <c r="U202" s="4"/>
      <c r="V202" s="4"/>
      <c r="W202" s="4"/>
    </row>
    <row r="203" spans="1:23" ht="12.75">
      <c r="A203" s="4"/>
      <c r="B203" s="12"/>
      <c r="C203" s="94"/>
      <c r="D203" s="94"/>
      <c r="E203" s="165"/>
      <c r="F203" s="172"/>
      <c r="G203" s="228"/>
      <c r="H203" s="228"/>
      <c r="I203" s="4"/>
      <c r="J203" s="12"/>
      <c r="K203" s="4"/>
      <c r="L203" s="4"/>
      <c r="M203" s="4"/>
      <c r="N203" s="4"/>
      <c r="O203" s="4"/>
      <c r="P203" s="4"/>
      <c r="Q203" s="4"/>
      <c r="R203" s="4"/>
      <c r="S203" s="4"/>
      <c r="T203" s="4"/>
      <c r="U203" s="4"/>
      <c r="V203" s="4"/>
      <c r="W203" s="4"/>
    </row>
    <row r="204" spans="1:23" ht="13.5" thickBot="1">
      <c r="A204" s="4"/>
      <c r="B204" s="12"/>
      <c r="C204" s="94"/>
      <c r="D204" s="93" t="s">
        <v>371</v>
      </c>
      <c r="E204" s="170">
        <f>E201+E202-E203</f>
        <v>554477.6959999995</v>
      </c>
      <c r="F204" s="228"/>
      <c r="G204" s="228"/>
      <c r="H204" s="228"/>
      <c r="I204" s="4"/>
      <c r="J204" s="12"/>
      <c r="K204" s="4"/>
      <c r="L204" s="4"/>
      <c r="M204" s="4"/>
      <c r="N204" s="4"/>
      <c r="O204" s="4"/>
      <c r="P204" s="4"/>
      <c r="Q204" s="4"/>
      <c r="R204" s="4"/>
      <c r="S204" s="4"/>
      <c r="T204" s="4"/>
      <c r="U204" s="4"/>
      <c r="V204" s="4"/>
      <c r="W204" s="4"/>
    </row>
    <row r="205" spans="1:23" ht="13.5" thickTop="1">
      <c r="A205" s="4"/>
      <c r="B205" s="12"/>
      <c r="C205" s="94"/>
      <c r="D205" s="93"/>
      <c r="E205" s="165"/>
      <c r="F205" s="228"/>
      <c r="G205" s="228"/>
      <c r="H205" s="228"/>
      <c r="I205" s="4"/>
      <c r="J205" s="12"/>
      <c r="K205" s="4"/>
      <c r="L205" s="4"/>
      <c r="M205" s="4"/>
      <c r="N205" s="4"/>
      <c r="O205" s="4"/>
      <c r="P205" s="4"/>
      <c r="Q205" s="4"/>
      <c r="R205" s="4"/>
      <c r="S205" s="4"/>
      <c r="T205" s="4"/>
      <c r="U205" s="4"/>
      <c r="V205" s="4"/>
      <c r="W205" s="4"/>
    </row>
    <row r="206" spans="1:23" ht="12.75">
      <c r="A206" s="4"/>
      <c r="B206" s="12"/>
      <c r="C206" s="94"/>
      <c r="D206" s="93"/>
      <c r="E206" s="165"/>
      <c r="F206" s="228"/>
      <c r="G206" s="228"/>
      <c r="H206" s="228"/>
      <c r="I206" s="4"/>
      <c r="J206" s="12"/>
      <c r="K206" s="4"/>
      <c r="L206" s="4"/>
      <c r="M206" s="4"/>
      <c r="N206" s="4"/>
      <c r="O206" s="4"/>
      <c r="P206" s="4"/>
      <c r="Q206" s="4"/>
      <c r="R206" s="4"/>
      <c r="S206" s="4"/>
      <c r="T206" s="4"/>
      <c r="U206" s="4"/>
      <c r="V206" s="4"/>
      <c r="W206" s="4"/>
    </row>
    <row r="207" spans="1:23" ht="12.75">
      <c r="A207" s="4"/>
      <c r="B207" s="12"/>
      <c r="C207" s="94"/>
      <c r="D207" s="511" t="s">
        <v>54</v>
      </c>
      <c r="E207" s="512"/>
      <c r="F207" s="512"/>
      <c r="G207" s="512"/>
      <c r="H207" s="512"/>
      <c r="I207" s="512"/>
      <c r="J207" s="12"/>
      <c r="K207" s="4"/>
      <c r="L207" s="4"/>
      <c r="M207" s="4"/>
      <c r="N207" s="4"/>
      <c r="O207" s="4"/>
      <c r="P207" s="4"/>
      <c r="Q207" s="4"/>
      <c r="R207" s="4"/>
      <c r="S207" s="4"/>
      <c r="T207" s="4"/>
      <c r="U207" s="4"/>
      <c r="V207" s="4"/>
      <c r="W207" s="4"/>
    </row>
    <row r="208" spans="1:23" ht="12.75">
      <c r="A208" s="4"/>
      <c r="B208" s="12"/>
      <c r="C208" s="94"/>
      <c r="D208" s="511" t="s">
        <v>435</v>
      </c>
      <c r="E208" s="512"/>
      <c r="F208" s="512"/>
      <c r="G208" s="512"/>
      <c r="H208" s="512"/>
      <c r="I208" s="512"/>
      <c r="J208" s="12"/>
      <c r="K208" s="4"/>
      <c r="L208" s="4"/>
      <c r="M208" s="4"/>
      <c r="N208" s="4"/>
      <c r="O208" s="4"/>
      <c r="P208" s="4"/>
      <c r="Q208" s="4"/>
      <c r="R208" s="4"/>
      <c r="S208" s="4"/>
      <c r="T208" s="4"/>
      <c r="U208" s="4"/>
      <c r="V208" s="4"/>
      <c r="W208" s="4"/>
    </row>
    <row r="209" spans="1:23" ht="12.75">
      <c r="A209" s="4"/>
      <c r="B209" s="12"/>
      <c r="C209" s="94"/>
      <c r="D209" s="513" t="s">
        <v>108</v>
      </c>
      <c r="E209" s="512"/>
      <c r="F209" s="512"/>
      <c r="G209" s="512"/>
      <c r="H209" s="512"/>
      <c r="I209" s="512"/>
      <c r="J209" s="12"/>
      <c r="K209" s="4"/>
      <c r="L209" s="4"/>
      <c r="M209" s="4"/>
      <c r="N209" s="4"/>
      <c r="O209" s="4"/>
      <c r="P209" s="4"/>
      <c r="Q209" s="4"/>
      <c r="R209" s="4"/>
      <c r="S209" s="4"/>
      <c r="T209" s="4"/>
      <c r="U209" s="4"/>
      <c r="V209" s="4"/>
      <c r="W209" s="4"/>
    </row>
    <row r="210" spans="1:23" ht="12.75">
      <c r="A210" s="4"/>
      <c r="B210" s="12"/>
      <c r="C210" s="94"/>
      <c r="D210" s="357"/>
      <c r="E210" s="357"/>
      <c r="F210" s="357"/>
      <c r="G210" s="357"/>
      <c r="H210" s="357"/>
      <c r="I210" s="357"/>
      <c r="J210" s="12"/>
      <c r="K210" s="4"/>
      <c r="L210" s="4"/>
      <c r="M210" s="4"/>
      <c r="N210" s="4"/>
      <c r="O210" s="4"/>
      <c r="P210" s="4"/>
      <c r="Q210" s="4"/>
      <c r="R210" s="4"/>
      <c r="S210" s="4"/>
      <c r="T210" s="4"/>
      <c r="U210" s="4"/>
      <c r="V210" s="4"/>
      <c r="W210" s="4"/>
    </row>
    <row r="211" spans="1:23" ht="12.75">
      <c r="A211" s="4"/>
      <c r="B211" s="12"/>
      <c r="C211" s="94"/>
      <c r="D211" s="357" t="s">
        <v>209</v>
      </c>
      <c r="E211" s="4"/>
      <c r="F211" s="357"/>
      <c r="G211" s="357"/>
      <c r="H211" s="357"/>
      <c r="I211" s="357"/>
      <c r="J211" s="12"/>
      <c r="K211" s="4"/>
      <c r="L211" s="4"/>
      <c r="M211" s="4"/>
      <c r="N211" s="4"/>
      <c r="O211" s="4"/>
      <c r="P211" s="4"/>
      <c r="Q211" s="4"/>
      <c r="R211" s="4"/>
      <c r="S211" s="4"/>
      <c r="T211" s="4"/>
      <c r="U211" s="4"/>
      <c r="V211" s="4"/>
      <c r="W211" s="4"/>
    </row>
    <row r="212" spans="1:23" ht="12.75">
      <c r="A212" s="4">
        <v>223</v>
      </c>
      <c r="B212" s="12"/>
      <c r="C212" s="94"/>
      <c r="D212" s="357" t="s">
        <v>436</v>
      </c>
      <c r="E212" s="358">
        <f>91681</f>
        <v>91681</v>
      </c>
      <c r="F212" s="358"/>
      <c r="G212" s="358"/>
      <c r="H212" s="358"/>
      <c r="I212" s="357"/>
      <c r="J212" s="12"/>
      <c r="K212" s="4"/>
      <c r="L212" s="4"/>
      <c r="M212" s="4"/>
      <c r="N212" s="4"/>
      <c r="O212" s="4"/>
      <c r="P212" s="4"/>
      <c r="Q212" s="4"/>
      <c r="R212" s="4"/>
      <c r="S212" s="4"/>
      <c r="T212" s="4"/>
      <c r="U212" s="4"/>
      <c r="V212" s="4"/>
      <c r="W212" s="4"/>
    </row>
    <row r="213" spans="1:23" ht="12.75">
      <c r="A213" s="4"/>
      <c r="B213" s="12"/>
      <c r="C213" s="94"/>
      <c r="D213" s="357" t="s">
        <v>437</v>
      </c>
      <c r="E213" s="396">
        <f>E106+E107</f>
        <v>2292028.2</v>
      </c>
      <c r="F213" s="358"/>
      <c r="G213" s="358"/>
      <c r="H213" s="358"/>
      <c r="I213" s="357"/>
      <c r="J213" s="12"/>
      <c r="K213" s="4"/>
      <c r="L213" s="4"/>
      <c r="M213" s="4"/>
      <c r="N213" s="4"/>
      <c r="O213" s="4"/>
      <c r="P213" s="4"/>
      <c r="Q213" s="4"/>
      <c r="R213" s="4"/>
      <c r="S213" s="4"/>
      <c r="T213" s="4"/>
      <c r="U213" s="4"/>
      <c r="V213" s="4"/>
      <c r="W213" s="4"/>
    </row>
    <row r="214" spans="1:23" ht="12.75">
      <c r="A214" s="4"/>
      <c r="B214" s="12"/>
      <c r="C214" s="94"/>
      <c r="D214" s="357" t="s">
        <v>438</v>
      </c>
      <c r="E214" s="358">
        <f>E212+E213</f>
        <v>2383709.2</v>
      </c>
      <c r="F214" s="358"/>
      <c r="G214" s="358"/>
      <c r="H214" s="358"/>
      <c r="I214" s="357"/>
      <c r="J214" s="12"/>
      <c r="K214" s="4"/>
      <c r="L214" s="4"/>
      <c r="M214" s="4"/>
      <c r="N214" s="4"/>
      <c r="O214" s="4"/>
      <c r="P214" s="4"/>
      <c r="Q214" s="4"/>
      <c r="R214" s="4"/>
      <c r="S214" s="4"/>
      <c r="T214" s="4"/>
      <c r="U214" s="4"/>
      <c r="V214" s="4"/>
      <c r="W214" s="4"/>
    </row>
    <row r="215" spans="1:23" ht="12.75">
      <c r="A215" s="4"/>
      <c r="B215" s="12"/>
      <c r="C215" s="94"/>
      <c r="D215" s="357" t="s">
        <v>439</v>
      </c>
      <c r="E215" s="397">
        <v>91681</v>
      </c>
      <c r="F215" s="358"/>
      <c r="G215" s="358"/>
      <c r="H215" s="358"/>
      <c r="I215" s="357"/>
      <c r="J215" s="12"/>
      <c r="K215" s="4"/>
      <c r="L215" s="4"/>
      <c r="M215" s="4"/>
      <c r="N215" s="4"/>
      <c r="O215" s="4"/>
      <c r="P215" s="4"/>
      <c r="Q215" s="4"/>
      <c r="R215" s="4"/>
      <c r="S215" s="4"/>
      <c r="T215" s="4"/>
      <c r="U215" s="4"/>
      <c r="V215" s="4"/>
      <c r="W215" s="4"/>
    </row>
    <row r="216" spans="1:23" ht="12.75">
      <c r="A216" s="4"/>
      <c r="B216" s="12"/>
      <c r="C216" s="94"/>
      <c r="D216" s="357" t="s">
        <v>449</v>
      </c>
      <c r="E216" s="358"/>
      <c r="F216" s="358"/>
      <c r="G216" s="358">
        <f>E214-E215</f>
        <v>2292028.2</v>
      </c>
      <c r="H216" s="358"/>
      <c r="I216" s="357"/>
      <c r="J216" s="12"/>
      <c r="K216" s="4"/>
      <c r="L216" s="4"/>
      <c r="M216" s="4"/>
      <c r="N216" s="4"/>
      <c r="O216" s="4"/>
      <c r="P216" s="4"/>
      <c r="Q216" s="4"/>
      <c r="R216" s="4"/>
      <c r="S216" s="4"/>
      <c r="T216" s="4"/>
      <c r="U216" s="4"/>
      <c r="V216" s="4"/>
      <c r="W216" s="4"/>
    </row>
    <row r="217" spans="1:23" ht="12.75">
      <c r="A217" s="4"/>
      <c r="B217" s="12"/>
      <c r="C217" s="94"/>
      <c r="D217" s="362" t="s">
        <v>168</v>
      </c>
      <c r="E217" s="358"/>
      <c r="F217" s="358"/>
      <c r="G217" s="358">
        <f>E119</f>
        <v>1053000</v>
      </c>
      <c r="H217" s="358"/>
      <c r="I217" s="357"/>
      <c r="J217" s="12"/>
      <c r="K217" s="4"/>
      <c r="L217" s="4"/>
      <c r="M217" s="4"/>
      <c r="N217" s="4"/>
      <c r="O217" s="4"/>
      <c r="P217" s="4"/>
      <c r="Q217" s="4"/>
      <c r="R217" s="4"/>
      <c r="S217" s="4"/>
      <c r="T217" s="4"/>
      <c r="U217" s="4"/>
      <c r="V217" s="4"/>
      <c r="W217" s="4"/>
    </row>
    <row r="218" spans="1:23" ht="12.75">
      <c r="A218" s="4"/>
      <c r="B218" s="12"/>
      <c r="C218" s="94"/>
      <c r="D218" s="362" t="s">
        <v>440</v>
      </c>
      <c r="E218" s="358"/>
      <c r="F218" s="358"/>
      <c r="G218" s="359"/>
      <c r="H218" s="359"/>
      <c r="I218" s="357"/>
      <c r="J218" s="12"/>
      <c r="K218" s="4"/>
      <c r="L218" s="4"/>
      <c r="M218" s="4"/>
      <c r="N218" s="4"/>
      <c r="O218" s="4"/>
      <c r="P218" s="4"/>
      <c r="Q218" s="4"/>
      <c r="R218" s="4"/>
      <c r="S218" s="4"/>
      <c r="T218" s="4"/>
      <c r="U218" s="4"/>
      <c r="V218" s="4"/>
      <c r="W218" s="4"/>
    </row>
    <row r="219" spans="1:23" ht="12.75">
      <c r="A219" s="4"/>
      <c r="B219" s="12"/>
      <c r="C219" s="94"/>
      <c r="D219" s="367" t="s">
        <v>147</v>
      </c>
      <c r="E219" s="377">
        <v>122850</v>
      </c>
      <c r="F219" s="358"/>
      <c r="G219" s="359"/>
      <c r="H219" s="359"/>
      <c r="I219" s="357"/>
      <c r="J219" s="12"/>
      <c r="K219" s="4"/>
      <c r="L219" s="4"/>
      <c r="M219" s="4"/>
      <c r="N219" s="4"/>
      <c r="O219" s="4"/>
      <c r="P219" s="4"/>
      <c r="Q219" s="4"/>
      <c r="R219" s="4"/>
      <c r="S219" s="4"/>
      <c r="T219" s="4"/>
      <c r="U219" s="4"/>
      <c r="V219" s="4"/>
      <c r="W219" s="4"/>
    </row>
    <row r="220" spans="1:23" ht="12.75">
      <c r="A220" s="4"/>
      <c r="B220" s="12"/>
      <c r="C220" s="94"/>
      <c r="D220" s="367" t="s">
        <v>213</v>
      </c>
      <c r="E220" s="377">
        <v>34481</v>
      </c>
      <c r="F220" s="358"/>
      <c r="G220" s="359"/>
      <c r="H220" s="359"/>
      <c r="I220" s="357"/>
      <c r="J220" s="12"/>
      <c r="K220" s="4"/>
      <c r="L220" s="4"/>
      <c r="M220" s="4"/>
      <c r="N220" s="4"/>
      <c r="O220" s="4"/>
      <c r="P220" s="4"/>
      <c r="Q220" s="4"/>
      <c r="R220" s="4"/>
      <c r="S220" s="4"/>
      <c r="T220" s="4"/>
      <c r="U220" s="4"/>
      <c r="V220" s="4"/>
      <c r="W220" s="4"/>
    </row>
    <row r="221" spans="1:23" ht="12.75">
      <c r="A221" s="4"/>
      <c r="B221" s="12"/>
      <c r="C221" s="94"/>
      <c r="D221" s="367" t="s">
        <v>346</v>
      </c>
      <c r="E221" s="377">
        <v>41294</v>
      </c>
      <c r="F221" s="358"/>
      <c r="G221" s="359"/>
      <c r="H221" s="359"/>
      <c r="I221" s="357"/>
      <c r="J221" s="12"/>
      <c r="K221" s="4"/>
      <c r="L221" s="4"/>
      <c r="M221" s="4"/>
      <c r="N221" s="4"/>
      <c r="O221" s="4"/>
      <c r="P221" s="4"/>
      <c r="Q221" s="4"/>
      <c r="R221" s="4"/>
      <c r="S221" s="4"/>
      <c r="T221" s="4"/>
      <c r="U221" s="4"/>
      <c r="V221" s="4"/>
      <c r="W221" s="4"/>
    </row>
    <row r="222" spans="1:23" ht="12.75">
      <c r="A222" s="4"/>
      <c r="B222" s="12"/>
      <c r="C222" s="94"/>
      <c r="D222" s="366" t="s">
        <v>149</v>
      </c>
      <c r="E222" s="377">
        <v>77426</v>
      </c>
      <c r="F222" s="358"/>
      <c r="G222" s="359"/>
      <c r="H222" s="359"/>
      <c r="I222" s="357"/>
      <c r="J222" s="12"/>
      <c r="K222" s="4"/>
      <c r="L222" s="4"/>
      <c r="M222" s="4"/>
      <c r="N222" s="4"/>
      <c r="O222" s="4"/>
      <c r="P222" s="4"/>
      <c r="Q222" s="4"/>
      <c r="R222" s="4"/>
      <c r="S222" s="4"/>
      <c r="T222" s="4"/>
      <c r="U222" s="4"/>
      <c r="V222" s="4"/>
      <c r="W222" s="4"/>
    </row>
    <row r="223" spans="1:23" ht="12.75">
      <c r="A223" s="4"/>
      <c r="B223" s="12"/>
      <c r="C223" s="94"/>
      <c r="D223" s="366" t="s">
        <v>347</v>
      </c>
      <c r="E223" s="377">
        <v>55747</v>
      </c>
      <c r="F223" s="358"/>
      <c r="G223" s="359"/>
      <c r="H223" s="359"/>
      <c r="I223" s="357"/>
      <c r="J223" s="12"/>
      <c r="K223" s="4"/>
      <c r="L223" s="4"/>
      <c r="M223" s="4"/>
      <c r="N223" s="4"/>
      <c r="O223" s="4"/>
      <c r="P223" s="4"/>
      <c r="Q223" s="4"/>
      <c r="R223" s="4"/>
      <c r="S223" s="4"/>
      <c r="T223" s="4"/>
      <c r="U223" s="4"/>
      <c r="V223" s="4"/>
      <c r="W223" s="4"/>
    </row>
    <row r="224" spans="1:23" ht="12.75">
      <c r="A224" s="4"/>
      <c r="B224" s="12"/>
      <c r="C224" s="94"/>
      <c r="D224" s="366" t="s">
        <v>212</v>
      </c>
      <c r="E224" s="377">
        <v>150000</v>
      </c>
      <c r="F224" s="358"/>
      <c r="G224" s="359"/>
      <c r="H224" s="359"/>
      <c r="I224" s="357"/>
      <c r="J224" s="12"/>
      <c r="K224" s="4"/>
      <c r="L224" s="4"/>
      <c r="M224" s="4"/>
      <c r="N224" s="4"/>
      <c r="O224" s="4"/>
      <c r="P224" s="4"/>
      <c r="Q224" s="4"/>
      <c r="R224" s="4"/>
      <c r="S224" s="4"/>
      <c r="T224" s="4"/>
      <c r="U224" s="4"/>
      <c r="V224" s="4"/>
      <c r="W224" s="4"/>
    </row>
    <row r="225" spans="1:23" ht="12.75">
      <c r="A225" s="4"/>
      <c r="B225" s="12"/>
      <c r="C225" s="94"/>
      <c r="D225" s="361" t="s">
        <v>99</v>
      </c>
      <c r="E225" s="360"/>
      <c r="F225" s="358"/>
      <c r="G225" s="396">
        <f>SUM(E219:E224)</f>
        <v>481798</v>
      </c>
      <c r="H225" s="359"/>
      <c r="I225" s="357"/>
      <c r="J225" s="12"/>
      <c r="K225" s="4"/>
      <c r="L225" s="4"/>
      <c r="M225" s="4"/>
      <c r="N225" s="4"/>
      <c r="O225" s="4"/>
      <c r="P225" s="4"/>
      <c r="Q225" s="4"/>
      <c r="R225" s="4"/>
      <c r="S225" s="4"/>
      <c r="T225" s="4"/>
      <c r="U225" s="4"/>
      <c r="V225" s="4"/>
      <c r="W225" s="4"/>
    </row>
    <row r="226" spans="1:23" ht="12.75">
      <c r="A226" s="4"/>
      <c r="B226" s="12"/>
      <c r="C226" s="94"/>
      <c r="D226" s="366" t="s">
        <v>441</v>
      </c>
      <c r="E226" s="358"/>
      <c r="F226" s="358"/>
      <c r="G226" s="358">
        <f>SUM(G216:G225)</f>
        <v>3826826.2</v>
      </c>
      <c r="H226" s="359"/>
      <c r="I226" s="357"/>
      <c r="J226" s="12"/>
      <c r="K226" s="4"/>
      <c r="L226" s="4"/>
      <c r="M226" s="4"/>
      <c r="N226" s="4"/>
      <c r="O226" s="4"/>
      <c r="P226" s="4"/>
      <c r="Q226" s="4"/>
      <c r="R226" s="4"/>
      <c r="S226" s="4"/>
      <c r="T226" s="4"/>
      <c r="U226" s="4"/>
      <c r="V226" s="4"/>
      <c r="W226" s="4"/>
    </row>
    <row r="227" spans="1:23" ht="12.75">
      <c r="A227" s="4"/>
      <c r="B227" s="12"/>
      <c r="C227" s="94"/>
      <c r="D227" s="366" t="s">
        <v>442</v>
      </c>
      <c r="E227" s="358" t="s">
        <v>2</v>
      </c>
      <c r="F227" s="358"/>
      <c r="G227" s="396">
        <v>0</v>
      </c>
      <c r="H227" s="359"/>
      <c r="I227" s="357"/>
      <c r="J227" s="12"/>
      <c r="K227" s="4"/>
      <c r="L227" s="4"/>
      <c r="M227" s="4"/>
      <c r="N227" s="4"/>
      <c r="O227" s="4"/>
      <c r="P227" s="4"/>
      <c r="Q227" s="4"/>
      <c r="R227" s="4"/>
      <c r="S227" s="4"/>
      <c r="T227" s="4"/>
      <c r="U227" s="4"/>
      <c r="V227" s="4"/>
      <c r="W227" s="4"/>
    </row>
    <row r="228" spans="1:23" ht="12.75">
      <c r="A228" s="4"/>
      <c r="B228" s="12"/>
      <c r="C228" s="94"/>
      <c r="D228" s="366" t="s">
        <v>443</v>
      </c>
      <c r="E228" s="358"/>
      <c r="F228" s="358"/>
      <c r="G228" s="358">
        <f>G226+G227</f>
        <v>3826826.2</v>
      </c>
      <c r="H228" s="359"/>
      <c r="I228" s="357"/>
      <c r="J228" s="12"/>
      <c r="K228" s="4"/>
      <c r="L228" s="4"/>
      <c r="M228" s="4"/>
      <c r="N228" s="4"/>
      <c r="O228" s="4"/>
      <c r="P228" s="4"/>
      <c r="Q228" s="4"/>
      <c r="R228" s="4"/>
      <c r="S228" s="4"/>
      <c r="T228" s="4"/>
      <c r="U228" s="4"/>
      <c r="V228" s="4"/>
      <c r="W228" s="4"/>
    </row>
    <row r="229" spans="1:23" ht="12.75">
      <c r="A229" s="4"/>
      <c r="B229" s="12"/>
      <c r="C229" s="94"/>
      <c r="D229" s="366" t="s">
        <v>444</v>
      </c>
      <c r="E229" s="358"/>
      <c r="F229" s="358"/>
      <c r="G229" s="396">
        <v>0</v>
      </c>
      <c r="H229" s="359"/>
      <c r="I229" s="357"/>
      <c r="J229" s="12"/>
      <c r="K229" s="4"/>
      <c r="L229" s="4"/>
      <c r="M229" s="4"/>
      <c r="N229" s="4"/>
      <c r="O229" s="4"/>
      <c r="P229" s="4"/>
      <c r="Q229" s="4"/>
      <c r="R229" s="4"/>
      <c r="S229" s="4"/>
      <c r="T229" s="4"/>
      <c r="U229" s="4"/>
      <c r="V229" s="4"/>
      <c r="W229" s="4"/>
    </row>
    <row r="230" spans="1:23" ht="12.75">
      <c r="A230" s="4"/>
      <c r="B230" s="12"/>
      <c r="C230" s="94"/>
      <c r="D230" s="361" t="s">
        <v>55</v>
      </c>
      <c r="E230" s="358"/>
      <c r="F230" s="358"/>
      <c r="G230" s="358">
        <f>G228-G229</f>
        <v>3826826.2</v>
      </c>
      <c r="H230" s="359"/>
      <c r="I230" s="357"/>
      <c r="J230" s="12"/>
      <c r="K230" s="4"/>
      <c r="L230" s="4"/>
      <c r="M230" s="4"/>
      <c r="N230" s="4"/>
      <c r="O230" s="4"/>
      <c r="P230" s="4"/>
      <c r="Q230" s="4"/>
      <c r="R230" s="4"/>
      <c r="S230" s="4"/>
      <c r="T230" s="4"/>
      <c r="U230" s="4"/>
      <c r="V230" s="4"/>
      <c r="W230" s="4"/>
    </row>
    <row r="231" spans="1:23" ht="12.75">
      <c r="A231" s="4"/>
      <c r="B231" s="12"/>
      <c r="C231" s="94"/>
      <c r="D231" s="94"/>
      <c r="E231" s="94"/>
      <c r="F231" s="94"/>
      <c r="G231" s="94"/>
      <c r="H231" s="94"/>
      <c r="I231" s="4"/>
      <c r="J231" s="12"/>
      <c r="K231" s="4"/>
      <c r="L231" s="4"/>
      <c r="M231" s="4"/>
      <c r="N231" s="4"/>
      <c r="O231" s="4"/>
      <c r="P231" s="4"/>
      <c r="Q231" s="4"/>
      <c r="R231" s="4"/>
      <c r="S231" s="4"/>
      <c r="T231" s="4"/>
      <c r="U231" s="4"/>
      <c r="V231" s="4"/>
      <c r="W231" s="4"/>
    </row>
    <row r="232" spans="1:23" ht="12.75">
      <c r="A232" s="4"/>
      <c r="B232" s="12"/>
      <c r="C232" s="93"/>
      <c r="D232" s="94"/>
      <c r="E232" s="351"/>
      <c r="F232" s="351"/>
      <c r="G232" s="351"/>
      <c r="H232" s="351"/>
      <c r="I232" s="4"/>
      <c r="J232" s="12"/>
      <c r="K232" s="4"/>
      <c r="L232" s="4"/>
      <c r="M232" s="4"/>
      <c r="N232" s="4"/>
      <c r="O232" s="4"/>
      <c r="P232" s="4"/>
      <c r="Q232" s="4"/>
      <c r="R232" s="4"/>
      <c r="S232" s="4"/>
      <c r="T232" s="4"/>
      <c r="U232" s="4"/>
      <c r="V232" s="4"/>
      <c r="W232" s="4"/>
    </row>
    <row r="233" spans="1:23" ht="12.75">
      <c r="A233" s="4"/>
      <c r="B233" s="12"/>
      <c r="C233" s="94"/>
      <c r="D233" s="350" t="s">
        <v>106</v>
      </c>
      <c r="E233" s="350"/>
      <c r="F233" s="350"/>
      <c r="G233" s="350"/>
      <c r="H233" s="350"/>
      <c r="I233" s="4"/>
      <c r="J233" s="12"/>
      <c r="K233" s="4"/>
      <c r="L233" s="4"/>
      <c r="M233" s="4"/>
      <c r="N233" s="4"/>
      <c r="O233" s="4"/>
      <c r="P233" s="4"/>
      <c r="Q233" s="4"/>
      <c r="R233" s="4"/>
      <c r="S233" s="4"/>
      <c r="T233" s="4"/>
      <c r="U233" s="4"/>
      <c r="V233" s="4"/>
      <c r="W233" s="4"/>
    </row>
    <row r="234" spans="1:23" ht="12.75">
      <c r="A234" s="4"/>
      <c r="B234" s="12"/>
      <c r="C234" s="94"/>
      <c r="D234" s="350" t="s">
        <v>230</v>
      </c>
      <c r="E234" s="350"/>
      <c r="F234" s="350"/>
      <c r="G234" s="350"/>
      <c r="H234" s="350"/>
      <c r="I234" s="4"/>
      <c r="J234" s="12"/>
      <c r="K234" s="4"/>
      <c r="L234" s="4"/>
      <c r="M234" s="4"/>
      <c r="N234" s="4"/>
      <c r="O234" s="4"/>
      <c r="P234" s="4"/>
      <c r="Q234" s="4"/>
      <c r="R234" s="4"/>
      <c r="S234" s="4"/>
      <c r="T234" s="4"/>
      <c r="U234" s="4"/>
      <c r="V234" s="4"/>
      <c r="W234" s="4"/>
    </row>
    <row r="235" spans="1:23" ht="12.75">
      <c r="A235" s="4"/>
      <c r="B235" s="12"/>
      <c r="C235" s="94"/>
      <c r="D235" s="354" t="s">
        <v>108</v>
      </c>
      <c r="E235" s="350"/>
      <c r="F235" s="350"/>
      <c r="G235" s="350"/>
      <c r="H235" s="350"/>
      <c r="I235" s="4"/>
      <c r="J235" s="12"/>
      <c r="K235" s="4"/>
      <c r="L235" s="4"/>
      <c r="M235" s="4"/>
      <c r="N235" s="4"/>
      <c r="O235" s="4"/>
      <c r="P235" s="4"/>
      <c r="Q235" s="4"/>
      <c r="R235" s="4"/>
      <c r="S235" s="4"/>
      <c r="T235" s="4"/>
      <c r="U235" s="4"/>
      <c r="V235" s="4"/>
      <c r="W235" s="4"/>
    </row>
    <row r="236" spans="1:23" ht="12.75">
      <c r="A236" s="4"/>
      <c r="B236" s="12"/>
      <c r="C236" s="94"/>
      <c r="D236" s="354"/>
      <c r="E236" s="350"/>
      <c r="F236" s="350"/>
      <c r="G236" s="350"/>
      <c r="H236" s="350"/>
      <c r="I236" s="4"/>
      <c r="J236" s="12"/>
      <c r="K236" s="4"/>
      <c r="L236" s="4"/>
      <c r="M236" s="4"/>
      <c r="N236" s="4"/>
      <c r="O236" s="4"/>
      <c r="P236" s="4"/>
      <c r="Q236" s="4"/>
      <c r="R236" s="4"/>
      <c r="S236" s="4"/>
      <c r="T236" s="4"/>
      <c r="U236" s="4"/>
      <c r="V236" s="4"/>
      <c r="W236" s="4"/>
    </row>
    <row r="237" spans="1:23" ht="12.75">
      <c r="A237" s="4"/>
      <c r="B237" s="12"/>
      <c r="C237" s="94"/>
      <c r="D237" s="352"/>
      <c r="E237" s="104" t="s">
        <v>228</v>
      </c>
      <c r="F237" s="356"/>
      <c r="G237" s="356"/>
      <c r="H237" s="356"/>
      <c r="I237" s="4"/>
      <c r="J237" s="12"/>
      <c r="K237" s="4"/>
      <c r="L237" s="4"/>
      <c r="M237" s="4"/>
      <c r="N237" s="4"/>
      <c r="O237" s="4"/>
      <c r="P237" s="4"/>
      <c r="Q237" s="4"/>
      <c r="R237" s="4"/>
      <c r="S237" s="4"/>
      <c r="T237" s="4"/>
      <c r="U237" s="4"/>
      <c r="V237" s="4"/>
      <c r="W237" s="4"/>
    </row>
    <row r="238" spans="1:23" ht="12.75">
      <c r="A238" s="4"/>
      <c r="B238" s="12"/>
      <c r="C238" s="94"/>
      <c r="D238" s="93" t="s">
        <v>64</v>
      </c>
      <c r="E238" s="94"/>
      <c r="F238" s="94"/>
      <c r="G238" s="95"/>
      <c r="H238" s="95"/>
      <c r="I238" s="4"/>
      <c r="J238" s="12"/>
      <c r="K238" s="4"/>
      <c r="L238" s="4"/>
      <c r="M238" s="4"/>
      <c r="N238" s="4"/>
      <c r="O238" s="4"/>
      <c r="P238" s="4"/>
      <c r="Q238" s="4"/>
      <c r="R238" s="4"/>
      <c r="S238" s="4"/>
      <c r="T238" s="4"/>
      <c r="U238" s="4"/>
      <c r="V238" s="4"/>
      <c r="W238" s="4"/>
    </row>
    <row r="239" spans="1:23" ht="12.75">
      <c r="A239" s="4"/>
      <c r="B239" s="12"/>
      <c r="C239" s="94"/>
      <c r="D239" s="94" t="s">
        <v>65</v>
      </c>
      <c r="E239" s="161">
        <f>E55</f>
        <v>5247450</v>
      </c>
      <c r="F239" s="161"/>
      <c r="G239" s="165"/>
      <c r="H239" s="165"/>
      <c r="I239" s="4"/>
      <c r="J239" s="12"/>
      <c r="K239" s="4"/>
      <c r="L239" s="4"/>
      <c r="M239" s="4"/>
      <c r="N239" s="4"/>
      <c r="O239" s="4"/>
      <c r="P239" s="4"/>
      <c r="Q239" s="4"/>
      <c r="R239" s="4"/>
      <c r="S239" s="4"/>
      <c r="T239" s="4"/>
      <c r="U239" s="4"/>
      <c r="V239" s="4"/>
      <c r="W239" s="4"/>
    </row>
    <row r="240" spans="1:23" ht="12.75">
      <c r="A240" s="4"/>
      <c r="B240" s="12"/>
      <c r="C240" s="94"/>
      <c r="D240" s="94" t="s">
        <v>55</v>
      </c>
      <c r="E240" s="167">
        <f>G230</f>
        <v>3826826.2</v>
      </c>
      <c r="F240" s="161"/>
      <c r="G240" s="165"/>
      <c r="H240" s="165"/>
      <c r="I240" s="4"/>
      <c r="J240" s="12"/>
      <c r="K240" s="4"/>
      <c r="L240" s="4"/>
      <c r="M240" s="4"/>
      <c r="N240" s="4"/>
      <c r="O240" s="4"/>
      <c r="P240" s="4"/>
      <c r="Q240" s="4"/>
      <c r="R240" s="4"/>
      <c r="S240" s="4"/>
      <c r="T240" s="4"/>
      <c r="U240" s="4"/>
      <c r="V240" s="4"/>
      <c r="W240" s="4"/>
    </row>
    <row r="241" spans="1:23" ht="12.75">
      <c r="A241" s="4"/>
      <c r="B241" s="12"/>
      <c r="C241" s="94"/>
      <c r="D241" s="94" t="s">
        <v>369</v>
      </c>
      <c r="E241" s="161">
        <f>E239-E240</f>
        <v>1420623.7999999998</v>
      </c>
      <c r="F241" s="161"/>
      <c r="G241" s="165"/>
      <c r="H241" s="165"/>
      <c r="I241" s="4"/>
      <c r="J241" s="12"/>
      <c r="K241" s="4"/>
      <c r="L241" s="4"/>
      <c r="M241" s="4"/>
      <c r="N241" s="4"/>
      <c r="O241" s="4"/>
      <c r="P241" s="4"/>
      <c r="Q241" s="4"/>
      <c r="R241" s="4"/>
      <c r="S241" s="4"/>
      <c r="T241" s="4"/>
      <c r="U241" s="4"/>
      <c r="V241" s="4"/>
      <c r="W241" s="4"/>
    </row>
    <row r="242" spans="1:23" ht="12.75">
      <c r="A242" s="4"/>
      <c r="B242" s="12"/>
      <c r="C242" s="94"/>
      <c r="D242" s="93"/>
      <c r="E242" s="106"/>
      <c r="F242" s="106"/>
      <c r="G242" s="250"/>
      <c r="H242" s="250"/>
      <c r="I242" s="4"/>
      <c r="J242" s="12"/>
      <c r="K242" s="4"/>
      <c r="L242" s="4"/>
      <c r="M242" s="4"/>
      <c r="N242" s="4"/>
      <c r="O242" s="4"/>
      <c r="P242" s="4"/>
      <c r="Q242" s="4"/>
      <c r="R242" s="4"/>
      <c r="S242" s="4"/>
      <c r="T242" s="4"/>
      <c r="U242" s="4"/>
      <c r="V242" s="4"/>
      <c r="W242" s="4"/>
    </row>
    <row r="243" spans="1:23" ht="12.75">
      <c r="A243" s="4"/>
      <c r="B243" s="12"/>
      <c r="C243" s="94"/>
      <c r="D243" s="93" t="s">
        <v>67</v>
      </c>
      <c r="E243" s="106"/>
      <c r="F243" s="106"/>
      <c r="G243" s="250"/>
      <c r="H243" s="250"/>
      <c r="I243" s="4"/>
      <c r="J243" s="12"/>
      <c r="K243" s="4"/>
      <c r="L243" s="4"/>
      <c r="M243" s="4"/>
      <c r="N243" s="4"/>
      <c r="O243" s="4"/>
      <c r="P243" s="4"/>
      <c r="Q243" s="4"/>
      <c r="R243" s="4"/>
      <c r="S243" s="4"/>
      <c r="T243" s="4"/>
      <c r="U243" s="4"/>
      <c r="V243" s="4"/>
      <c r="W243" s="4"/>
    </row>
    <row r="244" spans="1:23" ht="12.75">
      <c r="A244" s="4"/>
      <c r="B244" s="12"/>
      <c r="C244" s="94"/>
      <c r="D244" s="94" t="s">
        <v>370</v>
      </c>
      <c r="E244" s="182">
        <f>E177</f>
        <v>1340038.404</v>
      </c>
      <c r="F244" s="94"/>
      <c r="G244" s="95"/>
      <c r="H244" s="95"/>
      <c r="I244" s="4"/>
      <c r="J244" s="12"/>
      <c r="K244" s="4"/>
      <c r="L244" s="4"/>
      <c r="M244" s="4"/>
      <c r="N244" s="4"/>
      <c r="O244" s="4"/>
      <c r="P244" s="4"/>
      <c r="Q244" s="4"/>
      <c r="R244" s="4"/>
      <c r="S244" s="4"/>
      <c r="T244" s="4"/>
      <c r="U244" s="4"/>
      <c r="V244" s="4"/>
      <c r="W244" s="4"/>
    </row>
    <row r="245" spans="1:23" ht="12.75">
      <c r="A245" s="4"/>
      <c r="B245" s="12"/>
      <c r="C245" s="94"/>
      <c r="D245" s="93" t="s">
        <v>14</v>
      </c>
      <c r="E245" s="111">
        <f>E241-E244</f>
        <v>80585.39599999972</v>
      </c>
      <c r="F245" s="111"/>
      <c r="G245" s="143"/>
      <c r="H245" s="143"/>
      <c r="I245" s="4"/>
      <c r="J245" s="12"/>
      <c r="K245" s="4"/>
      <c r="L245" s="4"/>
      <c r="M245" s="4"/>
      <c r="N245" s="4"/>
      <c r="O245" s="4"/>
      <c r="P245" s="4"/>
      <c r="Q245" s="4"/>
      <c r="R245" s="4"/>
      <c r="S245" s="4"/>
      <c r="T245" s="4"/>
      <c r="U245" s="4"/>
      <c r="V245" s="4"/>
      <c r="W245" s="4"/>
    </row>
    <row r="246" spans="1:23" ht="12.75">
      <c r="A246" s="4"/>
      <c r="B246" s="12"/>
      <c r="C246" s="94"/>
      <c r="D246" s="94"/>
      <c r="E246" s="94"/>
      <c r="F246" s="111"/>
      <c r="G246" s="143"/>
      <c r="H246" s="143"/>
      <c r="I246" s="4"/>
      <c r="J246" s="12"/>
      <c r="K246" s="4"/>
      <c r="L246" s="4"/>
      <c r="M246" s="4"/>
      <c r="N246" s="4"/>
      <c r="O246" s="4"/>
      <c r="P246" s="4"/>
      <c r="Q246" s="4"/>
      <c r="R246" s="4"/>
      <c r="S246" s="4"/>
      <c r="T246" s="4"/>
      <c r="U246" s="4"/>
      <c r="V246" s="4"/>
      <c r="W246" s="4"/>
    </row>
    <row r="247" spans="1:23" ht="12.75">
      <c r="A247" s="4"/>
      <c r="B247" s="12"/>
      <c r="C247" s="94"/>
      <c r="D247" s="94" t="s">
        <v>15</v>
      </c>
      <c r="E247" s="94"/>
      <c r="F247" s="111"/>
      <c r="G247" s="143"/>
      <c r="H247" s="143"/>
      <c r="I247" s="4"/>
      <c r="J247" s="12"/>
      <c r="K247" s="4"/>
      <c r="L247" s="4"/>
      <c r="M247" s="4"/>
      <c r="N247" s="4"/>
      <c r="O247" s="4"/>
      <c r="P247" s="4"/>
      <c r="Q247" s="4"/>
      <c r="R247" s="4"/>
      <c r="S247" s="4"/>
      <c r="T247" s="4"/>
      <c r="U247" s="4"/>
      <c r="V247" s="4"/>
      <c r="W247" s="4"/>
    </row>
    <row r="248" spans="1:23" ht="12.75">
      <c r="A248" s="4"/>
      <c r="B248" s="12"/>
      <c r="C248" s="94"/>
      <c r="D248" s="94" t="s">
        <v>16</v>
      </c>
      <c r="E248" s="94">
        <v>5600</v>
      </c>
      <c r="F248" s="111"/>
      <c r="G248" s="143"/>
      <c r="H248" s="143"/>
      <c r="I248" s="4"/>
      <c r="J248" s="12"/>
      <c r="K248" s="4"/>
      <c r="L248" s="4"/>
      <c r="M248" s="4"/>
      <c r="N248" s="4"/>
      <c r="O248" s="4"/>
      <c r="P248" s="4"/>
      <c r="Q248" s="4"/>
      <c r="R248" s="4"/>
      <c r="S248" s="4"/>
      <c r="T248" s="4"/>
      <c r="U248" s="4"/>
      <c r="V248" s="4"/>
      <c r="W248" s="4"/>
    </row>
    <row r="249" spans="1:23" ht="12.75">
      <c r="A249" s="4"/>
      <c r="B249" s="12"/>
      <c r="C249" s="94"/>
      <c r="D249" s="94" t="s">
        <v>17</v>
      </c>
      <c r="E249" s="150">
        <v>50000</v>
      </c>
      <c r="F249" s="111"/>
      <c r="G249" s="143"/>
      <c r="H249" s="143"/>
      <c r="I249" s="4"/>
      <c r="J249" s="12"/>
      <c r="K249" s="4"/>
      <c r="L249" s="4"/>
      <c r="M249" s="4"/>
      <c r="N249" s="4"/>
      <c r="O249" s="4"/>
      <c r="P249" s="4"/>
      <c r="Q249" s="4"/>
      <c r="R249" s="4"/>
      <c r="S249" s="4"/>
      <c r="T249" s="4"/>
      <c r="U249" s="4"/>
      <c r="V249" s="4"/>
      <c r="W249" s="4"/>
    </row>
    <row r="250" spans="1:23" ht="12.75">
      <c r="A250" s="4"/>
      <c r="B250" s="12"/>
      <c r="C250" s="94"/>
      <c r="D250" s="94" t="s">
        <v>18</v>
      </c>
      <c r="E250" s="94">
        <f>E248-E249</f>
        <v>-44400</v>
      </c>
      <c r="F250" s="111"/>
      <c r="G250" s="143"/>
      <c r="H250" s="143"/>
      <c r="I250" s="4"/>
      <c r="J250" s="12"/>
      <c r="K250" s="4"/>
      <c r="L250" s="4"/>
      <c r="M250" s="4"/>
      <c r="N250" s="4"/>
      <c r="O250" s="4"/>
      <c r="P250" s="4"/>
      <c r="Q250" s="4"/>
      <c r="R250" s="4"/>
      <c r="S250" s="4"/>
      <c r="T250" s="4"/>
      <c r="U250" s="4"/>
      <c r="V250" s="4"/>
      <c r="W250" s="4"/>
    </row>
    <row r="251" spans="1:23" ht="13.5" thickBot="1">
      <c r="A251" s="4"/>
      <c r="B251" s="12"/>
      <c r="C251" s="94"/>
      <c r="D251" s="94" t="s">
        <v>461</v>
      </c>
      <c r="E251" s="194">
        <f>E245+E250</f>
        <v>36185.39599999972</v>
      </c>
      <c r="F251" s="111"/>
      <c r="G251" s="143"/>
      <c r="H251" s="143"/>
      <c r="I251" s="4"/>
      <c r="J251" s="12"/>
      <c r="K251" s="4"/>
      <c r="L251" s="4"/>
      <c r="M251" s="4"/>
      <c r="N251" s="4"/>
      <c r="O251" s="4"/>
      <c r="P251" s="4"/>
      <c r="Q251" s="4"/>
      <c r="R251" s="4"/>
      <c r="S251" s="4"/>
      <c r="T251" s="4"/>
      <c r="U251" s="4"/>
      <c r="V251" s="4"/>
      <c r="W251" s="4"/>
    </row>
    <row r="252" spans="1:23" ht="13.5" thickTop="1">
      <c r="A252" s="4"/>
      <c r="B252" s="12"/>
      <c r="C252" s="94"/>
      <c r="D252" s="93"/>
      <c r="E252" s="94"/>
      <c r="F252" s="161"/>
      <c r="G252" s="165"/>
      <c r="H252" s="165"/>
      <c r="I252" s="4"/>
      <c r="J252" s="12"/>
      <c r="K252" s="4"/>
      <c r="L252" s="4"/>
      <c r="M252" s="4"/>
      <c r="N252" s="4"/>
      <c r="O252" s="4"/>
      <c r="P252" s="4"/>
      <c r="Q252" s="4"/>
      <c r="R252" s="4"/>
      <c r="S252" s="4"/>
      <c r="T252" s="4"/>
      <c r="U252" s="4"/>
      <c r="V252" s="4"/>
      <c r="W252" s="4"/>
    </row>
    <row r="253" spans="1:23" ht="12.75">
      <c r="A253" s="4"/>
      <c r="B253" s="12"/>
      <c r="C253" s="94"/>
      <c r="D253" s="94"/>
      <c r="E253" s="94"/>
      <c r="F253" s="94"/>
      <c r="G253" s="95"/>
      <c r="H253" s="94"/>
      <c r="I253" s="4"/>
      <c r="J253" s="12"/>
      <c r="K253" s="4"/>
      <c r="L253" s="4"/>
      <c r="M253" s="4"/>
      <c r="N253" s="4"/>
      <c r="O253" s="4"/>
      <c r="P253" s="4"/>
      <c r="Q253" s="4"/>
      <c r="R253" s="4"/>
      <c r="S253" s="4"/>
      <c r="T253" s="4"/>
      <c r="U253" s="4"/>
      <c r="V253" s="4"/>
      <c r="W253" s="4"/>
    </row>
    <row r="254" spans="1:23" ht="12.75">
      <c r="A254" s="4"/>
      <c r="B254" s="12"/>
      <c r="C254" s="94"/>
      <c r="D254" s="350" t="s">
        <v>54</v>
      </c>
      <c r="E254" s="350"/>
      <c r="F254" s="350"/>
      <c r="G254" s="350"/>
      <c r="H254" s="350"/>
      <c r="I254" s="4"/>
      <c r="J254" s="12"/>
      <c r="K254" s="4"/>
      <c r="L254" s="4"/>
      <c r="M254" s="4"/>
      <c r="N254" s="4"/>
      <c r="O254" s="4"/>
      <c r="P254" s="4"/>
      <c r="Q254" s="4"/>
      <c r="R254" s="4"/>
      <c r="S254" s="4"/>
      <c r="T254" s="4"/>
      <c r="U254" s="4"/>
      <c r="V254" s="4"/>
      <c r="W254" s="4"/>
    </row>
    <row r="255" spans="1:23" ht="12.75">
      <c r="A255" s="4"/>
      <c r="B255" s="12"/>
      <c r="C255" s="94"/>
      <c r="D255" s="350" t="s">
        <v>229</v>
      </c>
      <c r="E255" s="350"/>
      <c r="F255" s="350"/>
      <c r="G255" s="350"/>
      <c r="H255" s="350"/>
      <c r="I255" s="4"/>
      <c r="J255" s="12"/>
      <c r="K255" s="4"/>
      <c r="L255" s="4"/>
      <c r="M255" s="4"/>
      <c r="N255" s="4"/>
      <c r="O255" s="4"/>
      <c r="P255" s="4"/>
      <c r="Q255" s="4"/>
      <c r="R255" s="4"/>
      <c r="S255" s="4"/>
      <c r="T255" s="4"/>
      <c r="U255" s="4"/>
      <c r="V255" s="4"/>
      <c r="W255" s="4"/>
    </row>
    <row r="256" spans="1:23" ht="12.75">
      <c r="A256" s="4"/>
      <c r="B256" s="12"/>
      <c r="C256" s="94"/>
      <c r="D256" s="354" t="s">
        <v>108</v>
      </c>
      <c r="E256" s="350"/>
      <c r="F256" s="350"/>
      <c r="G256" s="350"/>
      <c r="H256" s="350"/>
      <c r="I256" s="4"/>
      <c r="J256" s="12"/>
      <c r="K256" s="4"/>
      <c r="L256" s="4"/>
      <c r="M256" s="4"/>
      <c r="N256" s="4"/>
      <c r="O256" s="4"/>
      <c r="P256" s="4"/>
      <c r="Q256" s="4"/>
      <c r="R256" s="4"/>
      <c r="S256" s="4"/>
      <c r="T256" s="4"/>
      <c r="U256" s="4"/>
      <c r="V256" s="4"/>
      <c r="W256" s="4"/>
    </row>
    <row r="257" spans="1:23" ht="12.75">
      <c r="A257" s="4"/>
      <c r="B257" s="12"/>
      <c r="C257" s="94"/>
      <c r="D257" s="94"/>
      <c r="E257" s="94"/>
      <c r="F257" s="94"/>
      <c r="G257" s="95"/>
      <c r="H257" s="95"/>
      <c r="I257" s="4"/>
      <c r="J257" s="12"/>
      <c r="K257" s="4"/>
      <c r="L257" s="4"/>
      <c r="M257" s="4"/>
      <c r="N257" s="4"/>
      <c r="O257" s="4"/>
      <c r="P257" s="4"/>
      <c r="Q257" s="4"/>
      <c r="R257" s="4"/>
      <c r="S257" s="4"/>
      <c r="T257" s="4"/>
      <c r="U257" s="4"/>
      <c r="V257" s="4"/>
      <c r="W257" s="4"/>
    </row>
    <row r="258" spans="1:23" ht="12.75">
      <c r="A258" s="4"/>
      <c r="B258" s="12"/>
      <c r="C258" s="94"/>
      <c r="D258" s="93" t="s">
        <v>25</v>
      </c>
      <c r="E258" s="111"/>
      <c r="F258" s="111"/>
      <c r="G258" s="143"/>
      <c r="H258" s="143"/>
      <c r="I258" s="4"/>
      <c r="J258" s="12"/>
      <c r="K258" s="4"/>
      <c r="L258" s="4"/>
      <c r="M258" s="4"/>
      <c r="N258" s="4"/>
      <c r="O258" s="4"/>
      <c r="P258" s="4"/>
      <c r="Q258" s="4"/>
      <c r="R258" s="4"/>
      <c r="S258" s="4"/>
      <c r="T258" s="4"/>
      <c r="U258" s="4"/>
      <c r="V258" s="4"/>
      <c r="W258" s="4"/>
    </row>
    <row r="259" spans="1:23" ht="12.75">
      <c r="A259" s="4"/>
      <c r="B259" s="12"/>
      <c r="C259" s="94"/>
      <c r="D259" s="93" t="s">
        <v>0</v>
      </c>
      <c r="E259" s="111"/>
      <c r="F259" s="111"/>
      <c r="G259" s="143"/>
      <c r="H259" s="143"/>
      <c r="I259" s="4"/>
      <c r="J259" s="12"/>
      <c r="K259" s="4"/>
      <c r="L259" s="4"/>
      <c r="M259" s="4"/>
      <c r="N259" s="4"/>
      <c r="O259" s="4"/>
      <c r="P259" s="4"/>
      <c r="Q259" s="4"/>
      <c r="R259" s="4"/>
      <c r="S259" s="4"/>
      <c r="T259" s="4"/>
      <c r="U259" s="4"/>
      <c r="V259" s="4"/>
      <c r="W259" s="4"/>
    </row>
    <row r="260" spans="1:23" ht="12.75">
      <c r="A260" s="4"/>
      <c r="B260" s="12"/>
      <c r="C260" s="94"/>
      <c r="D260" s="94" t="s">
        <v>27</v>
      </c>
      <c r="E260" s="111">
        <f>E204</f>
        <v>554477.6959999995</v>
      </c>
      <c r="F260" s="111"/>
      <c r="G260" s="143"/>
      <c r="H260" s="143"/>
      <c r="I260" s="4"/>
      <c r="J260" s="12"/>
      <c r="K260" s="4"/>
      <c r="L260" s="4"/>
      <c r="M260" s="4"/>
      <c r="N260" s="4"/>
      <c r="O260" s="4"/>
      <c r="P260" s="4"/>
      <c r="Q260" s="4"/>
      <c r="R260" s="4"/>
      <c r="S260" s="4"/>
      <c r="T260" s="4"/>
      <c r="U260" s="4"/>
      <c r="V260" s="4"/>
      <c r="W260" s="4"/>
    </row>
    <row r="261" spans="1:23" ht="12.75">
      <c r="A261" s="4"/>
      <c r="B261" s="12"/>
      <c r="C261" s="94"/>
      <c r="D261" s="94" t="s">
        <v>49</v>
      </c>
      <c r="E261" s="111">
        <f>E12</f>
        <v>220000</v>
      </c>
      <c r="F261" s="111"/>
      <c r="G261" s="143"/>
      <c r="H261" s="143"/>
      <c r="I261" s="4"/>
      <c r="J261" s="12"/>
      <c r="K261" s="4"/>
      <c r="L261" s="4"/>
      <c r="M261" s="4"/>
      <c r="N261" s="4"/>
      <c r="O261" s="4"/>
      <c r="P261" s="4"/>
      <c r="Q261" s="4"/>
      <c r="R261" s="4"/>
      <c r="S261" s="4"/>
      <c r="T261" s="4"/>
      <c r="U261" s="4"/>
      <c r="V261" s="4"/>
      <c r="W261" s="4"/>
    </row>
    <row r="262" spans="1:23" ht="12.75">
      <c r="A262" s="4"/>
      <c r="B262" s="12"/>
      <c r="C262" s="94"/>
      <c r="D262" s="94" t="s">
        <v>28</v>
      </c>
      <c r="E262" s="111">
        <f>E62</f>
        <v>629694</v>
      </c>
      <c r="F262" s="111"/>
      <c r="G262" s="143"/>
      <c r="H262" s="143"/>
      <c r="I262" s="4"/>
      <c r="J262" s="12"/>
      <c r="K262" s="4"/>
      <c r="L262" s="4"/>
      <c r="M262" s="4"/>
      <c r="N262" s="4"/>
      <c r="O262" s="4"/>
      <c r="P262" s="4"/>
      <c r="Q262" s="4"/>
      <c r="R262" s="4"/>
      <c r="S262" s="4"/>
      <c r="T262" s="4"/>
      <c r="U262" s="4"/>
      <c r="V262" s="4"/>
      <c r="W262" s="4"/>
    </row>
    <row r="263" spans="1:23" ht="12.75">
      <c r="A263" s="4"/>
      <c r="B263" s="12"/>
      <c r="C263" s="94"/>
      <c r="D263" s="94" t="s">
        <v>56</v>
      </c>
      <c r="E263" s="111">
        <f>E14</f>
        <v>91573</v>
      </c>
      <c r="F263" s="111"/>
      <c r="G263" s="143"/>
      <c r="H263" s="143"/>
      <c r="I263" s="4"/>
      <c r="J263" s="12"/>
      <c r="K263" s="4"/>
      <c r="L263" s="4"/>
      <c r="M263" s="4"/>
      <c r="N263" s="4"/>
      <c r="O263" s="4"/>
      <c r="P263" s="4"/>
      <c r="Q263" s="4"/>
      <c r="R263" s="4"/>
      <c r="S263" s="4"/>
      <c r="T263" s="4"/>
      <c r="U263" s="4"/>
      <c r="V263" s="4"/>
      <c r="W263" s="4"/>
    </row>
    <row r="264" spans="1:23" ht="12.75">
      <c r="A264" s="4"/>
      <c r="B264" s="12"/>
      <c r="C264" s="94"/>
      <c r="D264" s="94" t="s">
        <v>57</v>
      </c>
      <c r="E264" s="111">
        <v>130260</v>
      </c>
      <c r="F264" s="191"/>
      <c r="G264" s="143"/>
      <c r="H264" s="193"/>
      <c r="I264" s="4"/>
      <c r="J264" s="12"/>
      <c r="K264" s="4"/>
      <c r="L264" s="4"/>
      <c r="M264" s="4"/>
      <c r="N264" s="4"/>
      <c r="O264" s="4"/>
      <c r="P264" s="4"/>
      <c r="Q264" s="4"/>
      <c r="R264" s="4"/>
      <c r="S264" s="4"/>
      <c r="T264" s="4"/>
      <c r="U264" s="4"/>
      <c r="V264" s="4"/>
      <c r="W264" s="4"/>
    </row>
    <row r="265" spans="1:23" ht="12.75">
      <c r="A265" s="4"/>
      <c r="B265" s="12"/>
      <c r="C265" s="94"/>
      <c r="D265" s="94" t="s">
        <v>58</v>
      </c>
      <c r="E265" s="111">
        <v>0</v>
      </c>
      <c r="F265" s="191"/>
      <c r="G265" s="143"/>
      <c r="H265" s="193"/>
      <c r="I265" s="4"/>
      <c r="J265" s="12"/>
      <c r="K265" s="4"/>
      <c r="L265" s="4"/>
      <c r="M265" s="4"/>
      <c r="N265" s="4"/>
      <c r="O265" s="4"/>
      <c r="P265" s="4"/>
      <c r="Q265" s="4"/>
      <c r="R265" s="4"/>
      <c r="S265" s="4"/>
      <c r="T265" s="4"/>
      <c r="U265" s="4"/>
      <c r="V265" s="4"/>
      <c r="W265" s="4"/>
    </row>
    <row r="266" spans="1:23" ht="12.75">
      <c r="A266" s="4"/>
      <c r="B266" s="12"/>
      <c r="C266" s="94"/>
      <c r="D266" s="94" t="s">
        <v>29</v>
      </c>
      <c r="E266" s="111">
        <v>110000</v>
      </c>
      <c r="F266" s="111"/>
      <c r="G266" s="143"/>
      <c r="H266" s="143"/>
      <c r="I266" s="4"/>
      <c r="J266" s="12"/>
      <c r="K266" s="4"/>
      <c r="L266" s="4"/>
      <c r="M266" s="4"/>
      <c r="N266" s="4"/>
      <c r="O266" s="4"/>
      <c r="P266" s="4"/>
      <c r="Q266" s="4"/>
      <c r="R266" s="4"/>
      <c r="S266" s="4"/>
      <c r="T266" s="4"/>
      <c r="U266" s="4"/>
      <c r="V266" s="4"/>
      <c r="W266" s="4"/>
    </row>
    <row r="267" spans="1:23" ht="12.75">
      <c r="A267" s="4"/>
      <c r="B267" s="12"/>
      <c r="C267" s="94"/>
      <c r="D267" s="93" t="s">
        <v>30</v>
      </c>
      <c r="E267" s="192">
        <f>SUM(E260:E266)</f>
        <v>1736004.6959999995</v>
      </c>
      <c r="F267" s="111"/>
      <c r="G267" s="143"/>
      <c r="H267" s="143"/>
      <c r="I267" s="4"/>
      <c r="J267" s="12"/>
      <c r="K267" s="4"/>
      <c r="L267" s="4"/>
      <c r="M267" s="4"/>
      <c r="N267" s="4"/>
      <c r="O267" s="4"/>
      <c r="P267" s="4"/>
      <c r="Q267" s="4"/>
      <c r="R267" s="4"/>
      <c r="S267" s="4"/>
      <c r="T267" s="4"/>
      <c r="U267" s="4"/>
      <c r="V267" s="4"/>
      <c r="W267" s="4"/>
    </row>
    <row r="268" spans="1:23" ht="12.75">
      <c r="A268" s="4"/>
      <c r="B268" s="12"/>
      <c r="C268" s="94"/>
      <c r="D268" s="93" t="s">
        <v>26</v>
      </c>
      <c r="E268" s="111"/>
      <c r="F268" s="111"/>
      <c r="G268" s="143"/>
      <c r="H268" s="143"/>
      <c r="I268" s="4"/>
      <c r="J268" s="12"/>
      <c r="K268" s="4"/>
      <c r="L268" s="4"/>
      <c r="M268" s="4"/>
      <c r="N268" s="4"/>
      <c r="O268" s="4"/>
      <c r="P268" s="4"/>
      <c r="Q268" s="4"/>
      <c r="R268" s="4"/>
      <c r="S268" s="4"/>
      <c r="T268" s="4"/>
      <c r="U268" s="4"/>
      <c r="V268" s="4"/>
      <c r="W268" s="4"/>
    </row>
    <row r="269" spans="1:23" ht="12.75">
      <c r="A269" s="4"/>
      <c r="B269" s="12"/>
      <c r="C269" s="94"/>
      <c r="D269" s="94" t="s">
        <v>31</v>
      </c>
      <c r="E269" s="111">
        <f>E20</f>
        <v>100000</v>
      </c>
      <c r="F269" s="193"/>
      <c r="G269" s="143"/>
      <c r="H269" s="193"/>
      <c r="I269" s="4"/>
      <c r="J269" s="12"/>
      <c r="K269" s="4"/>
      <c r="L269" s="4"/>
      <c r="M269" s="4"/>
      <c r="N269" s="4"/>
      <c r="O269" s="4"/>
      <c r="P269" s="4"/>
      <c r="Q269" s="4"/>
      <c r="R269" s="4"/>
      <c r="S269" s="4"/>
      <c r="T269" s="4"/>
      <c r="U269" s="4"/>
      <c r="V269" s="4"/>
      <c r="W269" s="4"/>
    </row>
    <row r="270" spans="1:23" ht="12.75">
      <c r="A270" s="4"/>
      <c r="B270" s="12"/>
      <c r="C270" s="94"/>
      <c r="D270" s="94" t="s">
        <v>59</v>
      </c>
      <c r="E270" s="111">
        <f>E21</f>
        <v>2000000</v>
      </c>
      <c r="F270" s="111"/>
      <c r="G270" s="143"/>
      <c r="H270" s="143"/>
      <c r="I270" s="4"/>
      <c r="J270" s="12"/>
      <c r="K270" s="4"/>
      <c r="L270" s="4"/>
      <c r="M270" s="4"/>
      <c r="N270" s="4"/>
      <c r="O270" s="4"/>
      <c r="P270" s="4"/>
      <c r="Q270" s="4"/>
      <c r="R270" s="4"/>
      <c r="S270" s="4"/>
      <c r="T270" s="4"/>
      <c r="U270" s="4"/>
      <c r="V270" s="4"/>
      <c r="W270" s="4"/>
    </row>
    <row r="271" spans="1:23" ht="12.75">
      <c r="A271" s="4"/>
      <c r="B271" s="12"/>
      <c r="C271" s="94"/>
      <c r="D271" s="94" t="s">
        <v>32</v>
      </c>
      <c r="E271" s="143">
        <f>E22</f>
        <v>500000</v>
      </c>
      <c r="F271" s="111"/>
      <c r="G271" s="143"/>
      <c r="H271" s="143"/>
      <c r="I271" s="4"/>
      <c r="J271" s="12"/>
      <c r="K271" s="4"/>
      <c r="L271" s="4"/>
      <c r="M271" s="4"/>
      <c r="N271" s="4"/>
      <c r="O271" s="4"/>
      <c r="P271" s="4"/>
      <c r="Q271" s="4"/>
      <c r="R271" s="4"/>
      <c r="S271" s="4"/>
      <c r="T271" s="4"/>
      <c r="U271" s="4"/>
      <c r="V271" s="4"/>
      <c r="W271" s="4"/>
    </row>
    <row r="272" spans="1:23" ht="12.75">
      <c r="A272" s="4"/>
      <c r="B272" s="12"/>
      <c r="C272" s="94"/>
      <c r="D272" s="94"/>
      <c r="E272" s="192">
        <f>E23</f>
        <v>3400000</v>
      </c>
      <c r="F272" s="111"/>
      <c r="G272" s="143"/>
      <c r="H272" s="143"/>
      <c r="I272" s="4"/>
      <c r="J272" s="12"/>
      <c r="K272" s="4"/>
      <c r="L272" s="4"/>
      <c r="M272" s="4"/>
      <c r="N272" s="4"/>
      <c r="O272" s="4"/>
      <c r="P272" s="4"/>
      <c r="Q272" s="4"/>
      <c r="R272" s="4"/>
      <c r="S272" s="4"/>
      <c r="T272" s="4"/>
      <c r="U272" s="4"/>
      <c r="V272" s="4"/>
      <c r="W272" s="4"/>
    </row>
    <row r="273" spans="1:23" ht="12.75">
      <c r="A273" s="4"/>
      <c r="B273" s="12"/>
      <c r="C273" s="94"/>
      <c r="D273" s="94" t="s">
        <v>33</v>
      </c>
      <c r="E273" s="408">
        <f>E24-E145-E178</f>
        <v>-920000</v>
      </c>
      <c r="F273" s="143"/>
      <c r="G273" s="143"/>
      <c r="H273" s="143"/>
      <c r="I273" s="4"/>
      <c r="J273" s="12"/>
      <c r="K273" s="4"/>
      <c r="L273" s="4"/>
      <c r="M273" s="4"/>
      <c r="N273" s="4"/>
      <c r="O273" s="4"/>
      <c r="P273" s="4"/>
      <c r="Q273" s="4"/>
      <c r="R273" s="4"/>
      <c r="S273" s="4"/>
      <c r="T273" s="4"/>
      <c r="U273" s="4"/>
      <c r="V273" s="4"/>
      <c r="W273" s="4"/>
    </row>
    <row r="274" spans="1:23" ht="12.75">
      <c r="A274" s="4"/>
      <c r="B274" s="12"/>
      <c r="C274" s="94"/>
      <c r="D274" s="94" t="s">
        <v>34</v>
      </c>
      <c r="E274" s="111">
        <f>E272+E273</f>
        <v>2480000</v>
      </c>
      <c r="F274" s="111"/>
      <c r="G274" s="143"/>
      <c r="H274" s="143"/>
      <c r="I274" s="4"/>
      <c r="J274" s="12"/>
      <c r="K274" s="4"/>
      <c r="L274" s="4"/>
      <c r="M274" s="4"/>
      <c r="N274" s="4"/>
      <c r="O274" s="4"/>
      <c r="P274" s="4"/>
      <c r="Q274" s="4"/>
      <c r="R274" s="4"/>
      <c r="S274" s="4"/>
      <c r="T274" s="4"/>
      <c r="U274" s="4"/>
      <c r="V274" s="4"/>
      <c r="W274" s="4"/>
    </row>
    <row r="275" spans="1:23" ht="13.5" thickBot="1">
      <c r="A275" s="4"/>
      <c r="B275" s="12"/>
      <c r="C275" s="94"/>
      <c r="D275" s="93" t="s">
        <v>35</v>
      </c>
      <c r="E275" s="194">
        <f>ROUND(E267+E274,0)</f>
        <v>4216005</v>
      </c>
      <c r="F275" s="111"/>
      <c r="G275" s="143"/>
      <c r="H275" s="143"/>
      <c r="I275" s="4"/>
      <c r="J275" s="12"/>
      <c r="K275" s="4"/>
      <c r="L275" s="4"/>
      <c r="M275" s="4"/>
      <c r="N275" s="4"/>
      <c r="O275" s="4"/>
      <c r="P275" s="4"/>
      <c r="Q275" s="4"/>
      <c r="R275" s="4"/>
      <c r="S275" s="4"/>
      <c r="T275" s="4"/>
      <c r="U275" s="4"/>
      <c r="V275" s="4"/>
      <c r="W275" s="4"/>
    </row>
    <row r="276" spans="1:23" ht="13.5" thickTop="1">
      <c r="A276" s="4"/>
      <c r="B276" s="12"/>
      <c r="C276" s="94"/>
      <c r="D276" s="94"/>
      <c r="E276" s="111"/>
      <c r="F276" s="187"/>
      <c r="G276" s="143"/>
      <c r="H276" s="143"/>
      <c r="I276" s="4"/>
      <c r="J276" s="12"/>
      <c r="K276" s="4"/>
      <c r="L276" s="4"/>
      <c r="M276" s="4"/>
      <c r="N276" s="4"/>
      <c r="O276" s="4"/>
      <c r="P276" s="4"/>
      <c r="Q276" s="4"/>
      <c r="R276" s="4"/>
      <c r="S276" s="4"/>
      <c r="T276" s="4"/>
      <c r="U276" s="4"/>
      <c r="V276" s="4"/>
      <c r="W276" s="4"/>
    </row>
    <row r="277" spans="1:23" ht="12.75">
      <c r="A277" s="4"/>
      <c r="B277" s="12"/>
      <c r="C277" s="94"/>
      <c r="D277" s="93" t="s">
        <v>36</v>
      </c>
      <c r="E277" s="111"/>
      <c r="F277" s="111"/>
      <c r="G277" s="143"/>
      <c r="H277" s="143"/>
      <c r="I277" s="4"/>
      <c r="J277" s="12"/>
      <c r="K277" s="4"/>
      <c r="L277" s="4"/>
      <c r="M277" s="4"/>
      <c r="N277" s="4"/>
      <c r="O277" s="4"/>
      <c r="P277" s="4"/>
      <c r="Q277" s="4"/>
      <c r="R277" s="4"/>
      <c r="S277" s="4"/>
      <c r="T277" s="4"/>
      <c r="U277" s="4"/>
      <c r="V277" s="4"/>
      <c r="W277" s="4"/>
    </row>
    <row r="278" spans="1:23" ht="12.75">
      <c r="A278" s="4"/>
      <c r="B278" s="12"/>
      <c r="C278" s="94"/>
      <c r="D278" s="93" t="s">
        <v>1</v>
      </c>
      <c r="E278" s="187" t="s">
        <v>2</v>
      </c>
      <c r="F278" s="111"/>
      <c r="G278" s="256"/>
      <c r="H278" s="143"/>
      <c r="I278" s="4"/>
      <c r="J278" s="12"/>
      <c r="K278" s="4"/>
      <c r="L278" s="4"/>
      <c r="M278" s="4"/>
      <c r="N278" s="4"/>
      <c r="O278" s="4"/>
      <c r="P278" s="4"/>
      <c r="Q278" s="4"/>
      <c r="R278" s="4"/>
      <c r="S278" s="4"/>
      <c r="T278" s="4"/>
      <c r="U278" s="4"/>
      <c r="V278" s="4"/>
      <c r="W278" s="4"/>
    </row>
    <row r="279" spans="1:23" ht="12.75">
      <c r="A279" s="4"/>
      <c r="B279" s="12"/>
      <c r="C279" s="94"/>
      <c r="D279" s="94" t="s">
        <v>40</v>
      </c>
      <c r="E279" s="111">
        <f>E108</f>
        <v>229202.80000000002</v>
      </c>
      <c r="F279" s="191"/>
      <c r="G279" s="143"/>
      <c r="H279" s="193"/>
      <c r="I279" s="4"/>
      <c r="J279" s="12"/>
      <c r="K279" s="4"/>
      <c r="L279" s="4"/>
      <c r="M279" s="4"/>
      <c r="N279" s="4"/>
      <c r="O279" s="4"/>
      <c r="P279" s="4"/>
      <c r="Q279" s="4"/>
      <c r="R279" s="4"/>
      <c r="S279" s="4"/>
      <c r="T279" s="4"/>
      <c r="U279" s="4"/>
      <c r="V279" s="4"/>
      <c r="W279" s="4"/>
    </row>
    <row r="280" spans="1:23" ht="12.75">
      <c r="A280" s="4">
        <v>291</v>
      </c>
      <c r="B280" s="12"/>
      <c r="C280" s="94"/>
      <c r="D280" s="94" t="s">
        <v>37</v>
      </c>
      <c r="E280" s="111">
        <v>13000</v>
      </c>
      <c r="F280" s="111"/>
      <c r="G280" s="143"/>
      <c r="H280" s="143"/>
      <c r="I280" s="4"/>
      <c r="J280" s="12"/>
      <c r="K280" s="4"/>
      <c r="L280" s="4"/>
      <c r="M280" s="4"/>
      <c r="N280" s="4"/>
      <c r="O280" s="4"/>
      <c r="P280" s="4"/>
      <c r="Q280" s="4"/>
      <c r="R280" s="4"/>
      <c r="S280" s="4"/>
      <c r="T280" s="4"/>
      <c r="U280" s="4"/>
      <c r="V280" s="4"/>
      <c r="W280" s="4"/>
    </row>
    <row r="281" spans="1:23" ht="12.75">
      <c r="A281" s="4">
        <v>292</v>
      </c>
      <c r="B281" s="12"/>
      <c r="C281" s="94"/>
      <c r="D281" s="94" t="s">
        <v>38</v>
      </c>
      <c r="E281" s="111">
        <v>26000</v>
      </c>
      <c r="F281" s="111"/>
      <c r="G281" s="143"/>
      <c r="H281" s="143"/>
      <c r="I281" s="4"/>
      <c r="J281" s="12"/>
      <c r="K281" s="4"/>
      <c r="L281" s="4"/>
      <c r="M281" s="4"/>
      <c r="N281" s="4"/>
      <c r="O281" s="4"/>
      <c r="P281" s="4"/>
      <c r="Q281" s="4"/>
      <c r="R281" s="4"/>
      <c r="S281" s="4"/>
      <c r="T281" s="4"/>
      <c r="U281" s="4"/>
      <c r="V281" s="4"/>
      <c r="W281" s="4"/>
    </row>
    <row r="282" spans="1:23" ht="12.75">
      <c r="A282" s="4">
        <v>293</v>
      </c>
      <c r="B282" s="12"/>
      <c r="C282" s="94"/>
      <c r="D282" s="94" t="s">
        <v>39</v>
      </c>
      <c r="E282" s="192">
        <f>SUM(E279:E281)</f>
        <v>268202.80000000005</v>
      </c>
      <c r="F282" s="111"/>
      <c r="G282" s="143"/>
      <c r="H282" s="143"/>
      <c r="I282" s="4"/>
      <c r="J282" s="12"/>
      <c r="K282" s="4"/>
      <c r="L282" s="4"/>
      <c r="M282" s="4"/>
      <c r="N282" s="4"/>
      <c r="O282" s="4"/>
      <c r="P282" s="4"/>
      <c r="Q282" s="4"/>
      <c r="R282" s="4"/>
      <c r="S282" s="4"/>
      <c r="T282" s="4"/>
      <c r="U282" s="4"/>
      <c r="V282" s="4"/>
      <c r="W282" s="4"/>
    </row>
    <row r="283" spans="1:23" ht="12.75">
      <c r="A283" s="4">
        <v>294</v>
      </c>
      <c r="B283" s="12"/>
      <c r="C283" s="94"/>
      <c r="D283" s="93" t="s">
        <v>9</v>
      </c>
      <c r="E283" s="111"/>
      <c r="F283" s="191"/>
      <c r="G283" s="143"/>
      <c r="H283" s="193"/>
      <c r="I283" s="4"/>
      <c r="J283" s="12"/>
      <c r="K283" s="4"/>
      <c r="L283" s="4"/>
      <c r="M283" s="4"/>
      <c r="N283" s="4"/>
      <c r="O283" s="4"/>
      <c r="P283" s="4"/>
      <c r="Q283" s="4"/>
      <c r="R283" s="4"/>
      <c r="S283" s="4"/>
      <c r="T283" s="4"/>
      <c r="U283" s="4"/>
      <c r="V283" s="4"/>
      <c r="W283" s="4"/>
    </row>
    <row r="284" spans="1:23" ht="12.75">
      <c r="A284" s="4">
        <v>295</v>
      </c>
      <c r="B284" s="12"/>
      <c r="C284" s="94"/>
      <c r="D284" s="94" t="s">
        <v>85</v>
      </c>
      <c r="E284" s="111">
        <v>1500000</v>
      </c>
      <c r="F284" s="111"/>
      <c r="G284" s="143"/>
      <c r="H284" s="143"/>
      <c r="I284" s="4"/>
      <c r="J284" s="12"/>
      <c r="K284" s="4"/>
      <c r="L284" s="4"/>
      <c r="M284" s="4"/>
      <c r="N284" s="4"/>
      <c r="O284" s="4"/>
      <c r="P284" s="4"/>
      <c r="Q284" s="4"/>
      <c r="R284" s="4"/>
      <c r="S284" s="4"/>
      <c r="T284" s="4"/>
      <c r="U284" s="4"/>
      <c r="V284" s="4"/>
      <c r="W284" s="4"/>
    </row>
    <row r="285" spans="1:23" ht="12.75">
      <c r="A285" s="4">
        <v>296</v>
      </c>
      <c r="B285" s="12"/>
      <c r="C285" s="94"/>
      <c r="D285" s="94" t="s">
        <v>41</v>
      </c>
      <c r="E285" s="111">
        <v>75000</v>
      </c>
      <c r="F285" s="111"/>
      <c r="G285" s="143"/>
      <c r="H285" s="143"/>
      <c r="I285" s="4"/>
      <c r="J285" s="12"/>
      <c r="K285" s="4"/>
      <c r="L285" s="4"/>
      <c r="M285" s="4"/>
      <c r="N285" s="4"/>
      <c r="O285" s="4"/>
      <c r="P285" s="4"/>
      <c r="Q285" s="4"/>
      <c r="R285" s="4"/>
      <c r="S285" s="4"/>
      <c r="T285" s="4"/>
      <c r="U285" s="4"/>
      <c r="V285" s="4"/>
      <c r="W285" s="4"/>
    </row>
    <row r="286" spans="1:23" ht="12.75">
      <c r="A286" s="4">
        <v>297</v>
      </c>
      <c r="B286" s="12"/>
      <c r="C286" s="94"/>
      <c r="D286" s="94" t="s">
        <v>42</v>
      </c>
      <c r="E286" s="192">
        <f>SUM(E284:E285)</f>
        <v>1575000</v>
      </c>
      <c r="F286" s="111"/>
      <c r="G286" s="143"/>
      <c r="H286" s="143"/>
      <c r="I286" s="4"/>
      <c r="J286" s="12"/>
      <c r="K286" s="4"/>
      <c r="L286" s="4"/>
      <c r="M286" s="4"/>
      <c r="N286" s="4"/>
      <c r="O286" s="4"/>
      <c r="P286" s="4"/>
      <c r="Q286" s="4"/>
      <c r="R286" s="4"/>
      <c r="S286" s="4"/>
      <c r="T286" s="4"/>
      <c r="U286" s="4"/>
      <c r="V286" s="4"/>
      <c r="W286" s="4"/>
    </row>
    <row r="287" spans="1:23" ht="12.75">
      <c r="A287" s="4">
        <v>298</v>
      </c>
      <c r="B287" s="12"/>
      <c r="C287" s="94"/>
      <c r="D287" s="94" t="s">
        <v>43</v>
      </c>
      <c r="E287" s="192">
        <f>E282+E286</f>
        <v>1843202.8</v>
      </c>
      <c r="F287" s="111"/>
      <c r="G287" s="143"/>
      <c r="H287" s="143"/>
      <c r="I287" s="4"/>
      <c r="J287" s="12"/>
      <c r="K287" s="4"/>
      <c r="L287" s="4"/>
      <c r="M287" s="4"/>
      <c r="N287" s="4"/>
      <c r="O287" s="4"/>
      <c r="P287" s="4"/>
      <c r="Q287" s="4"/>
      <c r="R287" s="4"/>
      <c r="S287" s="4"/>
      <c r="T287" s="4"/>
      <c r="U287" s="4"/>
      <c r="V287" s="4"/>
      <c r="W287" s="4"/>
    </row>
    <row r="288" spans="1:23" ht="12.75">
      <c r="A288" s="4">
        <v>299</v>
      </c>
      <c r="B288" s="12"/>
      <c r="C288" s="94"/>
      <c r="D288" s="94"/>
      <c r="E288" s="111"/>
      <c r="F288" s="111"/>
      <c r="G288" s="143"/>
      <c r="H288" s="143"/>
      <c r="I288" s="4"/>
      <c r="J288" s="48"/>
      <c r="K288" s="4"/>
      <c r="L288" s="4"/>
      <c r="M288" s="4"/>
      <c r="N288" s="4"/>
      <c r="O288" s="4"/>
      <c r="P288" s="4"/>
      <c r="Q288" s="4"/>
      <c r="R288" s="4"/>
      <c r="S288" s="4"/>
      <c r="T288" s="4"/>
      <c r="U288" s="4"/>
      <c r="V288" s="4"/>
      <c r="W288" s="4"/>
    </row>
    <row r="289" spans="1:23" ht="12.75">
      <c r="A289" s="4">
        <v>300</v>
      </c>
      <c r="B289" s="12"/>
      <c r="C289" s="94"/>
      <c r="D289" s="93" t="s">
        <v>44</v>
      </c>
      <c r="E289" s="111"/>
      <c r="F289" s="111"/>
      <c r="G289" s="143"/>
      <c r="H289" s="143"/>
      <c r="I289" s="4"/>
      <c r="J289" s="12"/>
      <c r="K289" s="4"/>
      <c r="L289" s="27"/>
      <c r="M289" s="4"/>
      <c r="N289" s="4"/>
      <c r="O289" s="4"/>
      <c r="P289" s="4"/>
      <c r="Q289" s="4"/>
      <c r="R289" s="4"/>
      <c r="S289" s="4"/>
      <c r="T289" s="4"/>
      <c r="U289" s="4"/>
      <c r="V289" s="4"/>
      <c r="W289" s="4"/>
    </row>
    <row r="290" spans="1:23" ht="12.75">
      <c r="A290" s="4">
        <v>301</v>
      </c>
      <c r="B290" s="12"/>
      <c r="C290" s="94"/>
      <c r="D290" s="94" t="s">
        <v>83</v>
      </c>
      <c r="E290" s="111">
        <v>1000000</v>
      </c>
      <c r="F290" s="111"/>
      <c r="G290" s="143"/>
      <c r="H290" s="143"/>
      <c r="I290" s="4"/>
      <c r="J290" s="12"/>
      <c r="K290" s="4"/>
      <c r="L290" s="4"/>
      <c r="M290" s="4"/>
      <c r="N290" s="4"/>
      <c r="O290" s="4"/>
      <c r="P290" s="4"/>
      <c r="Q290" s="4"/>
      <c r="R290" s="4"/>
      <c r="S290" s="4"/>
      <c r="T290" s="4"/>
      <c r="U290" s="4"/>
      <c r="V290" s="4"/>
      <c r="W290" s="4"/>
    </row>
    <row r="291" spans="1:23" ht="12.75">
      <c r="A291" s="4">
        <v>302</v>
      </c>
      <c r="B291" s="12"/>
      <c r="C291" s="94"/>
      <c r="D291" s="94" t="s">
        <v>45</v>
      </c>
      <c r="E291" s="111">
        <v>225000</v>
      </c>
      <c r="F291" s="111"/>
      <c r="G291" s="143"/>
      <c r="H291" s="193"/>
      <c r="I291" s="4"/>
      <c r="J291" s="12"/>
      <c r="K291" s="4"/>
      <c r="L291" s="4"/>
      <c r="M291" s="4"/>
      <c r="N291" s="4"/>
      <c r="O291" s="4"/>
      <c r="P291" s="4"/>
      <c r="Q291" s="4"/>
      <c r="R291" s="4"/>
      <c r="S291" s="4"/>
      <c r="T291" s="4"/>
      <c r="U291" s="4"/>
      <c r="V291" s="4"/>
      <c r="W291" s="4"/>
    </row>
    <row r="292" spans="1:23" ht="12.75">
      <c r="A292" s="4">
        <v>303</v>
      </c>
      <c r="B292" s="12"/>
      <c r="C292" s="94"/>
      <c r="D292" s="94" t="s">
        <v>46</v>
      </c>
      <c r="E292" s="111">
        <f>E43+E251+1</f>
        <v>1247802.8959999997</v>
      </c>
      <c r="F292" s="111"/>
      <c r="G292" s="143"/>
      <c r="H292" s="143"/>
      <c r="I292" s="4"/>
      <c r="J292" s="12"/>
      <c r="K292" s="4"/>
      <c r="L292" s="4"/>
      <c r="M292" s="4"/>
      <c r="N292" s="4"/>
      <c r="O292" s="4"/>
      <c r="P292" s="4"/>
      <c r="Q292" s="4"/>
      <c r="R292" s="4"/>
      <c r="S292" s="4"/>
      <c r="T292" s="4"/>
      <c r="U292" s="4"/>
      <c r="V292" s="4"/>
      <c r="W292" s="4"/>
    </row>
    <row r="293" spans="1:23" ht="12.75">
      <c r="A293" s="4">
        <v>304</v>
      </c>
      <c r="B293" s="12"/>
      <c r="C293" s="94"/>
      <c r="D293" s="94" t="s">
        <v>426</v>
      </c>
      <c r="E293" s="111">
        <f>E44</f>
        <v>-100000</v>
      </c>
      <c r="F293" s="193"/>
      <c r="G293" s="143"/>
      <c r="H293" s="193"/>
      <c r="I293" s="4"/>
      <c r="J293" s="12"/>
      <c r="K293" s="4"/>
      <c r="L293" s="4"/>
      <c r="M293" s="4"/>
      <c r="N293" s="4"/>
      <c r="O293" s="4"/>
      <c r="P293" s="4"/>
      <c r="Q293" s="4"/>
      <c r="R293" s="4"/>
      <c r="S293" s="4"/>
      <c r="T293" s="4"/>
      <c r="U293" s="4"/>
      <c r="V293" s="4"/>
      <c r="W293" s="4"/>
    </row>
    <row r="294" spans="1:23" ht="12.75">
      <c r="A294" s="4">
        <v>305</v>
      </c>
      <c r="B294" s="12"/>
      <c r="C294" s="94"/>
      <c r="D294" s="93" t="s">
        <v>47</v>
      </c>
      <c r="E294" s="111">
        <f>SUM(E290:E292)+E293</f>
        <v>2372802.8959999997</v>
      </c>
      <c r="F294" s="94"/>
      <c r="G294" s="143"/>
      <c r="H294" s="95"/>
      <c r="I294" s="4"/>
      <c r="J294" s="12"/>
      <c r="K294" s="4"/>
      <c r="L294" s="4"/>
      <c r="M294" s="4"/>
      <c r="N294" s="4"/>
      <c r="O294" s="4"/>
      <c r="P294" s="4"/>
      <c r="Q294" s="4"/>
      <c r="R294" s="4"/>
      <c r="S294" s="4"/>
      <c r="T294" s="4"/>
      <c r="U294" s="4"/>
      <c r="V294" s="4"/>
      <c r="W294" s="4"/>
    </row>
    <row r="295" spans="1:23" ht="13.5" thickBot="1">
      <c r="A295" s="4">
        <v>306</v>
      </c>
      <c r="B295" s="12"/>
      <c r="C295" s="94"/>
      <c r="D295" s="93" t="s">
        <v>48</v>
      </c>
      <c r="E295" s="194">
        <f>(E287+E294-1)</f>
        <v>4216004.6959999995</v>
      </c>
      <c r="F295" s="94"/>
      <c r="G295" s="143"/>
      <c r="H295" s="95"/>
      <c r="I295" s="4"/>
      <c r="J295" s="12"/>
      <c r="K295" s="4"/>
      <c r="L295" s="4"/>
      <c r="M295" s="4"/>
      <c r="N295" s="4"/>
      <c r="O295" s="4"/>
      <c r="P295" s="4"/>
      <c r="Q295" s="4"/>
      <c r="R295" s="4"/>
      <c r="S295" s="4"/>
      <c r="T295" s="4"/>
      <c r="U295" s="4"/>
      <c r="V295" s="4"/>
      <c r="W295" s="4"/>
    </row>
    <row r="296" spans="1:23" ht="13.5" thickTop="1">
      <c r="A296" s="4">
        <v>307</v>
      </c>
      <c r="B296" s="12"/>
      <c r="C296" s="94"/>
      <c r="D296" s="153"/>
      <c r="E296" s="143"/>
      <c r="F296" s="94"/>
      <c r="G296" s="143"/>
      <c r="H296" s="95"/>
      <c r="I296" s="4"/>
      <c r="J296" s="12"/>
      <c r="K296" s="4"/>
      <c r="L296" s="4"/>
      <c r="M296" s="4"/>
      <c r="N296" s="4"/>
      <c r="O296" s="4"/>
      <c r="P296" s="4"/>
      <c r="Q296" s="4"/>
      <c r="R296" s="4"/>
      <c r="S296" s="4"/>
      <c r="T296" s="4"/>
      <c r="U296" s="4"/>
      <c r="V296" s="4"/>
      <c r="W296" s="4"/>
    </row>
    <row r="297" spans="1:23" ht="12.75">
      <c r="A297" s="4">
        <v>308</v>
      </c>
      <c r="B297" s="12"/>
      <c r="C297" s="94"/>
      <c r="D297" s="94"/>
      <c r="E297" s="94"/>
      <c r="F297" s="94"/>
      <c r="G297" s="95"/>
      <c r="H297" s="95"/>
      <c r="I297" s="4"/>
      <c r="J297" s="12"/>
      <c r="K297" s="4"/>
      <c r="L297" s="4"/>
      <c r="M297" s="4"/>
      <c r="N297" s="4"/>
      <c r="O297" s="4"/>
      <c r="P297" s="4"/>
      <c r="Q297" s="4"/>
      <c r="R297" s="4"/>
      <c r="S297" s="4"/>
      <c r="T297" s="4"/>
      <c r="U297" s="4"/>
      <c r="V297" s="4"/>
      <c r="W297" s="4"/>
    </row>
    <row r="298" spans="1:23" ht="12.75">
      <c r="A298" s="4">
        <v>309</v>
      </c>
      <c r="B298" s="12"/>
      <c r="C298" s="94"/>
      <c r="D298" s="94"/>
      <c r="E298" s="94"/>
      <c r="F298" s="94"/>
      <c r="G298" s="94"/>
      <c r="H298" s="94"/>
      <c r="I298" s="4"/>
      <c r="J298" s="12"/>
      <c r="K298" s="4"/>
      <c r="L298" s="4"/>
      <c r="M298" s="4"/>
      <c r="N298" s="4"/>
      <c r="O298" s="4"/>
      <c r="P298" s="4"/>
      <c r="Q298" s="4"/>
      <c r="R298" s="4"/>
      <c r="S298" s="4"/>
      <c r="T298" s="4"/>
      <c r="U298" s="4"/>
      <c r="V298" s="4"/>
      <c r="W298" s="4"/>
    </row>
    <row r="299" spans="1:23" ht="12.75">
      <c r="A299" s="4">
        <v>310</v>
      </c>
      <c r="B299" s="12"/>
      <c r="C299" s="94"/>
      <c r="D299" s="138" t="s">
        <v>54</v>
      </c>
      <c r="E299" s="94"/>
      <c r="F299" s="94"/>
      <c r="G299" s="94"/>
      <c r="H299" s="94"/>
      <c r="I299" s="4"/>
      <c r="J299" s="12"/>
      <c r="K299" s="4"/>
      <c r="L299" s="4"/>
      <c r="M299" s="4"/>
      <c r="N299" s="4"/>
      <c r="O299" s="4"/>
      <c r="P299" s="4"/>
      <c r="Q299" s="4"/>
      <c r="R299" s="4"/>
      <c r="S299" s="4"/>
      <c r="T299" s="4"/>
      <c r="U299" s="4"/>
      <c r="V299" s="4"/>
      <c r="W299" s="4"/>
    </row>
    <row r="300" spans="1:23" ht="12.75">
      <c r="A300" s="4"/>
      <c r="B300" s="12"/>
      <c r="C300" s="94"/>
      <c r="D300" s="138" t="s">
        <v>397</v>
      </c>
      <c r="E300" s="94"/>
      <c r="F300" s="94"/>
      <c r="G300" s="94"/>
      <c r="H300" s="94"/>
      <c r="I300" s="4"/>
      <c r="J300" s="12"/>
      <c r="K300" s="4"/>
      <c r="L300" s="4"/>
      <c r="M300" s="4"/>
      <c r="N300" s="4"/>
      <c r="O300" s="4"/>
      <c r="P300" s="4"/>
      <c r="Q300" s="4"/>
      <c r="R300" s="4"/>
      <c r="S300" s="4"/>
      <c r="T300" s="4"/>
      <c r="U300" s="4"/>
      <c r="V300" s="4"/>
      <c r="W300" s="4"/>
    </row>
    <row r="301" spans="1:23" ht="12.75">
      <c r="A301" s="4"/>
      <c r="B301" s="12"/>
      <c r="C301" s="94"/>
      <c r="D301" s="239" t="s">
        <v>108</v>
      </c>
      <c r="E301" s="94"/>
      <c r="F301" s="94"/>
      <c r="G301" s="94"/>
      <c r="H301" s="94"/>
      <c r="I301" s="4"/>
      <c r="J301" s="12"/>
      <c r="K301" s="4"/>
      <c r="L301" s="4"/>
      <c r="M301" s="4"/>
      <c r="N301" s="4"/>
      <c r="O301" s="4"/>
      <c r="P301" s="4"/>
      <c r="Q301" s="4"/>
      <c r="R301" s="4"/>
      <c r="S301" s="4"/>
      <c r="T301" s="4"/>
      <c r="U301" s="4"/>
      <c r="V301" s="4"/>
      <c r="W301" s="4"/>
    </row>
    <row r="302" spans="1:23" ht="12.75">
      <c r="A302" s="4"/>
      <c r="B302" s="12"/>
      <c r="C302" s="94"/>
      <c r="D302" s="94"/>
      <c r="E302" s="94"/>
      <c r="F302" s="94"/>
      <c r="G302" s="94"/>
      <c r="H302" s="94"/>
      <c r="I302" s="4"/>
      <c r="J302" s="12"/>
      <c r="K302" s="4"/>
      <c r="L302" s="4"/>
      <c r="M302" s="4"/>
      <c r="N302" s="4"/>
      <c r="O302" s="4"/>
      <c r="P302" s="4"/>
      <c r="Q302" s="4"/>
      <c r="R302" s="4"/>
      <c r="S302" s="4"/>
      <c r="T302" s="4"/>
      <c r="U302" s="4"/>
      <c r="V302" s="4"/>
      <c r="W302" s="4"/>
    </row>
    <row r="303" spans="1:23" ht="12.75">
      <c r="A303" s="4"/>
      <c r="B303" s="12"/>
      <c r="C303" s="94"/>
      <c r="D303" s="93" t="s">
        <v>372</v>
      </c>
      <c r="E303" s="94"/>
      <c r="F303" s="94"/>
      <c r="G303" s="94"/>
      <c r="H303" s="94"/>
      <c r="I303" s="4"/>
      <c r="J303" s="12"/>
      <c r="K303" s="4"/>
      <c r="L303" s="4"/>
      <c r="M303" s="4"/>
      <c r="N303" s="4"/>
      <c r="O303" s="4"/>
      <c r="P303" s="4"/>
      <c r="Q303" s="4"/>
      <c r="R303" s="4"/>
      <c r="S303" s="4"/>
      <c r="T303" s="4"/>
      <c r="U303" s="4"/>
      <c r="V303" s="4"/>
      <c r="W303" s="4"/>
    </row>
    <row r="304" spans="1:23" ht="12.75">
      <c r="A304" s="4"/>
      <c r="B304" s="12"/>
      <c r="C304" s="94"/>
      <c r="D304" s="94" t="s">
        <v>381</v>
      </c>
      <c r="E304" s="94"/>
      <c r="F304" s="94"/>
      <c r="G304" s="111">
        <f>E63</f>
        <v>5227716</v>
      </c>
      <c r="H304" s="94"/>
      <c r="I304" s="4"/>
      <c r="J304" s="12"/>
      <c r="K304" s="4"/>
      <c r="L304" s="4"/>
      <c r="M304" s="4"/>
      <c r="N304" s="4"/>
      <c r="O304" s="4"/>
      <c r="P304" s="4"/>
      <c r="Q304" s="4"/>
      <c r="R304" s="4"/>
      <c r="S304" s="4"/>
      <c r="T304" s="4"/>
      <c r="U304" s="4"/>
      <c r="V304" s="4"/>
      <c r="W304" s="4"/>
    </row>
    <row r="305" spans="1:23" ht="12.75">
      <c r="A305" s="4"/>
      <c r="B305" s="12"/>
      <c r="C305" s="94"/>
      <c r="D305" s="94" t="s">
        <v>386</v>
      </c>
      <c r="E305" s="94"/>
      <c r="F305" s="94"/>
      <c r="G305" s="111">
        <v>5600</v>
      </c>
      <c r="H305" s="94"/>
      <c r="I305" s="4"/>
      <c r="J305" s="12"/>
      <c r="K305" s="4"/>
      <c r="L305" s="4"/>
      <c r="M305" s="4"/>
      <c r="N305" s="4"/>
      <c r="O305" s="4"/>
      <c r="P305" s="4"/>
      <c r="Q305" s="4"/>
      <c r="R305" s="4"/>
      <c r="S305" s="4"/>
      <c r="T305" s="4"/>
      <c r="U305" s="4"/>
      <c r="V305" s="4"/>
      <c r="W305" s="4"/>
    </row>
    <row r="306" spans="1:23" ht="12.75">
      <c r="A306" s="4"/>
      <c r="B306" s="12"/>
      <c r="C306" s="94"/>
      <c r="D306" s="94" t="s">
        <v>382</v>
      </c>
      <c r="E306" s="111">
        <f>E109</f>
        <v>2324025.4000000004</v>
      </c>
      <c r="F306" s="94"/>
      <c r="G306" s="94"/>
      <c r="H306" s="94"/>
      <c r="I306" s="4"/>
      <c r="J306" s="12"/>
      <c r="K306" s="4"/>
      <c r="L306" s="4"/>
      <c r="M306" s="4"/>
      <c r="N306" s="4"/>
      <c r="O306" s="4"/>
      <c r="P306" s="4"/>
      <c r="Q306" s="4"/>
      <c r="R306" s="4"/>
      <c r="S306" s="4"/>
      <c r="T306" s="4"/>
      <c r="U306" s="4"/>
      <c r="V306" s="4"/>
      <c r="W306" s="4"/>
    </row>
    <row r="307" spans="1:23" ht="12.75">
      <c r="A307" s="4"/>
      <c r="B307" s="12"/>
      <c r="C307" s="94"/>
      <c r="D307" s="94" t="s">
        <v>383</v>
      </c>
      <c r="E307" s="111">
        <f>E119</f>
        <v>1053000</v>
      </c>
      <c r="F307" s="94"/>
      <c r="G307" s="94"/>
      <c r="H307" s="94"/>
      <c r="I307" s="4"/>
      <c r="J307" s="12"/>
      <c r="K307" s="4"/>
      <c r="L307" s="4"/>
      <c r="M307" s="4"/>
      <c r="N307" s="4"/>
      <c r="O307" s="4"/>
      <c r="P307" s="4"/>
      <c r="Q307" s="4"/>
      <c r="R307" s="4"/>
      <c r="S307" s="4"/>
      <c r="T307" s="4"/>
      <c r="U307" s="4"/>
      <c r="V307" s="4"/>
      <c r="W307" s="4"/>
    </row>
    <row r="308" spans="1:23" ht="12.75">
      <c r="A308" s="4"/>
      <c r="B308" s="12"/>
      <c r="C308" s="94"/>
      <c r="D308" s="94" t="s">
        <v>384</v>
      </c>
      <c r="E308" s="94">
        <f>E146</f>
        <v>331798</v>
      </c>
      <c r="F308" s="94"/>
      <c r="G308" s="94"/>
      <c r="H308" s="94"/>
      <c r="I308" s="4"/>
      <c r="J308" s="12"/>
      <c r="K308" s="4"/>
      <c r="L308" s="4"/>
      <c r="M308" s="4"/>
      <c r="N308" s="4"/>
      <c r="O308" s="4"/>
      <c r="P308" s="4"/>
      <c r="Q308" s="4"/>
      <c r="R308" s="4"/>
      <c r="S308" s="4"/>
      <c r="T308" s="4"/>
      <c r="U308" s="4"/>
      <c r="V308" s="4"/>
      <c r="W308" s="4"/>
    </row>
    <row r="309" spans="1:23" ht="12.75">
      <c r="A309" s="4"/>
      <c r="B309" s="12"/>
      <c r="C309" s="94"/>
      <c r="D309" s="94" t="s">
        <v>385</v>
      </c>
      <c r="E309" s="111">
        <f>E179</f>
        <v>1260038.404</v>
      </c>
      <c r="F309" s="94"/>
      <c r="G309" s="94"/>
      <c r="H309" s="94"/>
      <c r="I309" s="4"/>
      <c r="J309" s="12"/>
      <c r="K309" s="4"/>
      <c r="L309" s="4"/>
      <c r="M309" s="4"/>
      <c r="N309" s="4"/>
      <c r="O309" s="4"/>
      <c r="P309" s="4"/>
      <c r="Q309" s="4"/>
      <c r="R309" s="4"/>
      <c r="S309" s="4"/>
      <c r="T309" s="4"/>
      <c r="U309" s="4"/>
      <c r="V309" s="4"/>
      <c r="W309" s="4"/>
    </row>
    <row r="310" spans="1:23" ht="12.75">
      <c r="A310" s="4"/>
      <c r="B310" s="12"/>
      <c r="C310" s="94"/>
      <c r="D310" s="94" t="s">
        <v>367</v>
      </c>
      <c r="E310" s="182">
        <f>E197</f>
        <v>50000</v>
      </c>
      <c r="F310" s="94"/>
      <c r="G310" s="94"/>
      <c r="H310" s="94"/>
      <c r="I310" s="4"/>
      <c r="J310" s="12"/>
      <c r="K310" s="4"/>
      <c r="L310" s="4"/>
      <c r="M310" s="4"/>
      <c r="N310" s="4"/>
      <c r="O310" s="4"/>
      <c r="P310" s="4"/>
      <c r="Q310" s="4"/>
      <c r="R310" s="4"/>
      <c r="S310" s="4"/>
      <c r="T310" s="4"/>
      <c r="U310" s="4"/>
      <c r="V310" s="4"/>
      <c r="W310" s="4"/>
    </row>
    <row r="311" spans="1:23" ht="12.75">
      <c r="A311" s="4"/>
      <c r="B311" s="12"/>
      <c r="C311" s="94"/>
      <c r="D311" s="94"/>
      <c r="E311" s="95"/>
      <c r="F311" s="94"/>
      <c r="G311" s="182">
        <f>SUM(E306:E310)</f>
        <v>5018861.8040000005</v>
      </c>
      <c r="H311" s="94"/>
      <c r="I311" s="4"/>
      <c r="J311" s="12"/>
      <c r="K311" s="4"/>
      <c r="L311" s="4"/>
      <c r="M311" s="4"/>
      <c r="N311" s="4"/>
      <c r="O311" s="4"/>
      <c r="P311" s="4"/>
      <c r="Q311" s="4"/>
      <c r="R311" s="4"/>
      <c r="S311" s="4"/>
      <c r="T311" s="4"/>
      <c r="U311" s="4"/>
      <c r="V311" s="4"/>
      <c r="W311" s="4"/>
    </row>
    <row r="312" spans="1:23" ht="12.75">
      <c r="A312" s="4"/>
      <c r="B312" s="12"/>
      <c r="C312" s="94"/>
      <c r="D312" s="93" t="s">
        <v>377</v>
      </c>
      <c r="E312" s="94"/>
      <c r="F312" s="94"/>
      <c r="G312" s="111">
        <f>G304+G305-G311</f>
        <v>214454.19599999953</v>
      </c>
      <c r="H312" s="94"/>
      <c r="I312" s="4"/>
      <c r="J312" s="12"/>
      <c r="K312" s="4"/>
      <c r="L312" s="4"/>
      <c r="M312" s="4"/>
      <c r="N312" s="4"/>
      <c r="O312" s="4"/>
      <c r="P312" s="4"/>
      <c r="Q312" s="4"/>
      <c r="R312" s="4"/>
      <c r="S312" s="4"/>
      <c r="T312" s="4"/>
      <c r="U312" s="4"/>
      <c r="V312" s="4"/>
      <c r="W312" s="4"/>
    </row>
    <row r="313" spans="1:23" ht="12.75">
      <c r="A313" s="4"/>
      <c r="B313" s="12"/>
      <c r="C313" s="94"/>
      <c r="D313" s="94"/>
      <c r="E313" s="94"/>
      <c r="F313" s="94"/>
      <c r="G313" s="94"/>
      <c r="H313" s="94"/>
      <c r="I313" s="4"/>
      <c r="J313" s="12"/>
      <c r="K313" s="4"/>
      <c r="L313" s="4"/>
      <c r="M313" s="4"/>
      <c r="N313" s="4"/>
      <c r="O313" s="4"/>
      <c r="P313" s="4"/>
      <c r="Q313" s="4"/>
      <c r="R313" s="4"/>
      <c r="S313" s="4"/>
      <c r="T313" s="4"/>
      <c r="U313" s="4"/>
      <c r="V313" s="4"/>
      <c r="W313" s="4"/>
    </row>
    <row r="314" spans="1:23" ht="12.75">
      <c r="A314" s="4"/>
      <c r="B314" s="12"/>
      <c r="C314" s="94"/>
      <c r="D314" s="93" t="s">
        <v>374</v>
      </c>
      <c r="E314" s="94"/>
      <c r="F314" s="94"/>
      <c r="G314" s="94"/>
      <c r="H314" s="94"/>
      <c r="I314" s="4"/>
      <c r="J314" s="12"/>
      <c r="K314" s="4"/>
      <c r="L314" s="4"/>
      <c r="M314" s="4"/>
      <c r="N314" s="4"/>
      <c r="O314" s="4"/>
      <c r="P314" s="4"/>
      <c r="Q314" s="4"/>
      <c r="R314" s="4"/>
      <c r="S314" s="4"/>
      <c r="T314" s="4"/>
      <c r="U314" s="4"/>
      <c r="V314" s="4"/>
      <c r="W314" s="4"/>
    </row>
    <row r="315" spans="1:23" ht="12.75">
      <c r="A315" s="4"/>
      <c r="B315" s="12"/>
      <c r="C315" s="94"/>
      <c r="D315" s="94"/>
      <c r="E315" s="94"/>
      <c r="F315" s="94"/>
      <c r="G315" s="150"/>
      <c r="H315" s="94"/>
      <c r="I315" s="4"/>
      <c r="J315" s="12"/>
      <c r="K315" s="4"/>
      <c r="L315" s="4"/>
      <c r="M315" s="4"/>
      <c r="N315" s="4"/>
      <c r="O315" s="4"/>
      <c r="P315" s="4"/>
      <c r="Q315" s="4"/>
      <c r="R315" s="4"/>
      <c r="S315" s="4"/>
      <c r="T315" s="4"/>
      <c r="U315" s="4"/>
      <c r="V315" s="4"/>
      <c r="W315" s="4"/>
    </row>
    <row r="316" spans="1:23" ht="12.75">
      <c r="A316" s="4"/>
      <c r="B316" s="12"/>
      <c r="C316" s="94"/>
      <c r="D316" s="93" t="s">
        <v>376</v>
      </c>
      <c r="E316" s="94"/>
      <c r="F316" s="94"/>
      <c r="G316" s="94">
        <v>0</v>
      </c>
      <c r="H316" s="94"/>
      <c r="I316" s="4"/>
      <c r="J316" s="12"/>
      <c r="K316" s="4"/>
      <c r="L316" s="4"/>
      <c r="M316" s="4"/>
      <c r="N316" s="4"/>
      <c r="O316" s="4"/>
      <c r="P316" s="4"/>
      <c r="Q316" s="4"/>
      <c r="R316" s="4"/>
      <c r="S316" s="4"/>
      <c r="T316" s="4"/>
      <c r="U316" s="4"/>
      <c r="V316" s="4"/>
      <c r="W316" s="4"/>
    </row>
    <row r="317" spans="1:23" ht="12.75">
      <c r="A317" s="4"/>
      <c r="B317" s="12"/>
      <c r="C317" s="94"/>
      <c r="D317" s="94"/>
      <c r="E317" s="94"/>
      <c r="F317" s="94"/>
      <c r="G317" s="94"/>
      <c r="H317" s="94"/>
      <c r="I317" s="4"/>
      <c r="J317" s="12"/>
      <c r="K317" s="4"/>
      <c r="L317" s="4"/>
      <c r="M317" s="4"/>
      <c r="N317" s="4"/>
      <c r="O317" s="4"/>
      <c r="P317" s="4"/>
      <c r="Q317" s="4"/>
      <c r="R317" s="4"/>
      <c r="S317" s="4"/>
      <c r="T317" s="4"/>
      <c r="U317" s="4"/>
      <c r="V317" s="4"/>
      <c r="W317" s="4"/>
    </row>
    <row r="318" spans="1:23" ht="12.75">
      <c r="A318" s="4"/>
      <c r="B318" s="12"/>
      <c r="C318" s="94"/>
      <c r="D318" s="93" t="s">
        <v>373</v>
      </c>
      <c r="E318" s="94"/>
      <c r="F318" s="94"/>
      <c r="G318" s="94"/>
      <c r="H318" s="94"/>
      <c r="I318" s="4"/>
      <c r="J318" s="12"/>
      <c r="K318" s="4"/>
      <c r="L318" s="4"/>
      <c r="M318" s="4"/>
      <c r="N318" s="4"/>
      <c r="O318" s="4"/>
      <c r="P318" s="4"/>
      <c r="Q318" s="4"/>
      <c r="R318" s="4"/>
      <c r="S318" s="4"/>
      <c r="T318" s="4"/>
      <c r="U318" s="4"/>
      <c r="V318" s="4"/>
      <c r="W318" s="4"/>
    </row>
    <row r="319" spans="1:23" ht="12.75">
      <c r="A319" s="4"/>
      <c r="B319" s="12"/>
      <c r="C319" s="94"/>
      <c r="D319" s="94" t="s">
        <v>104</v>
      </c>
      <c r="E319" s="94">
        <v>-5000</v>
      </c>
      <c r="F319" s="94"/>
      <c r="G319" s="94"/>
      <c r="H319" s="94"/>
      <c r="I319" s="4"/>
      <c r="J319" s="12"/>
      <c r="K319" s="4"/>
      <c r="L319" s="4"/>
      <c r="M319" s="4"/>
      <c r="N319" s="4"/>
      <c r="O319" s="4"/>
      <c r="P319" s="4"/>
      <c r="Q319" s="4"/>
      <c r="R319" s="4"/>
      <c r="S319" s="4"/>
      <c r="T319" s="4"/>
      <c r="U319" s="4"/>
      <c r="V319" s="4"/>
      <c r="W319" s="4"/>
    </row>
    <row r="320" spans="1:23" ht="12.75">
      <c r="A320" s="4"/>
      <c r="B320" s="12"/>
      <c r="C320" s="94"/>
      <c r="D320" s="94" t="s">
        <v>387</v>
      </c>
      <c r="E320" s="150">
        <v>-100000</v>
      </c>
      <c r="F320" s="94"/>
      <c r="G320" s="94"/>
      <c r="H320" s="94"/>
      <c r="I320" s="4"/>
      <c r="J320" s="12"/>
      <c r="K320" s="4"/>
      <c r="L320" s="4"/>
      <c r="M320" s="4"/>
      <c r="N320" s="4"/>
      <c r="O320" s="4"/>
      <c r="P320" s="4"/>
      <c r="Q320" s="4"/>
      <c r="R320" s="4"/>
      <c r="S320" s="4"/>
      <c r="T320" s="4"/>
      <c r="U320" s="4"/>
      <c r="V320" s="4"/>
      <c r="W320" s="4"/>
    </row>
    <row r="321" spans="1:23" ht="12.75">
      <c r="A321" s="4"/>
      <c r="B321" s="12"/>
      <c r="C321" s="94"/>
      <c r="D321" s="94"/>
      <c r="E321" s="94"/>
      <c r="F321" s="94"/>
      <c r="G321" s="150">
        <f>E319+E320</f>
        <v>-105000</v>
      </c>
      <c r="H321" s="94"/>
      <c r="I321" s="4"/>
      <c r="J321" s="12"/>
      <c r="K321" s="4"/>
      <c r="L321" s="4"/>
      <c r="M321" s="4"/>
      <c r="N321" s="4"/>
      <c r="O321" s="4"/>
      <c r="P321" s="4"/>
      <c r="Q321" s="4"/>
      <c r="R321" s="4"/>
      <c r="S321" s="4"/>
      <c r="T321" s="4"/>
      <c r="U321" s="4"/>
      <c r="V321" s="4"/>
      <c r="W321" s="4"/>
    </row>
    <row r="322" spans="1:23" ht="12.75">
      <c r="A322" s="4"/>
      <c r="B322" s="12"/>
      <c r="C322" s="94"/>
      <c r="D322" s="93" t="s">
        <v>375</v>
      </c>
      <c r="E322" s="94"/>
      <c r="F322" s="94"/>
      <c r="G322" s="111"/>
      <c r="H322" s="94"/>
      <c r="I322" s="4"/>
      <c r="J322" s="12"/>
      <c r="K322" s="4"/>
      <c r="L322" s="4"/>
      <c r="M322" s="4"/>
      <c r="N322" s="4"/>
      <c r="O322" s="4"/>
      <c r="P322" s="4"/>
      <c r="Q322" s="4"/>
      <c r="R322" s="4"/>
      <c r="S322" s="4"/>
      <c r="T322" s="4"/>
      <c r="U322" s="4"/>
      <c r="V322" s="4"/>
      <c r="W322" s="4"/>
    </row>
    <row r="323" spans="1:23" ht="12.75">
      <c r="A323" s="4"/>
      <c r="B323" s="12"/>
      <c r="C323" s="94"/>
      <c r="D323" s="94"/>
      <c r="E323" s="94"/>
      <c r="F323" s="94"/>
      <c r="G323" s="94"/>
      <c r="H323" s="94"/>
      <c r="I323" s="4"/>
      <c r="J323" s="12"/>
      <c r="K323" s="4"/>
      <c r="L323" s="4"/>
      <c r="M323" s="4"/>
      <c r="N323" s="4"/>
      <c r="O323" s="4"/>
      <c r="P323" s="4"/>
      <c r="Q323" s="4"/>
      <c r="R323" s="4"/>
      <c r="S323" s="4"/>
      <c r="T323" s="4"/>
      <c r="U323" s="4"/>
      <c r="V323" s="4"/>
      <c r="W323" s="4"/>
    </row>
    <row r="324" spans="1:23" ht="12.75">
      <c r="A324" s="4"/>
      <c r="B324" s="12"/>
      <c r="C324" s="94"/>
      <c r="D324" s="94" t="s">
        <v>378</v>
      </c>
      <c r="E324" s="94"/>
      <c r="F324" s="94"/>
      <c r="G324" s="111">
        <f>G328-G326</f>
        <v>109454.19599999953</v>
      </c>
      <c r="H324" s="94"/>
      <c r="I324" s="4"/>
      <c r="J324" s="48"/>
      <c r="K324" s="4"/>
      <c r="L324" s="4"/>
      <c r="M324" s="4"/>
      <c r="N324" s="4"/>
      <c r="O324" s="4"/>
      <c r="P324" s="4"/>
      <c r="Q324" s="4"/>
      <c r="R324" s="4"/>
      <c r="S324" s="4"/>
      <c r="T324" s="4"/>
      <c r="U324" s="4"/>
      <c r="V324" s="4"/>
      <c r="W324" s="4"/>
    </row>
    <row r="325" spans="1:23" ht="12.75">
      <c r="A325" s="4"/>
      <c r="B325" s="12"/>
      <c r="C325" s="94"/>
      <c r="D325" s="94"/>
      <c r="E325" s="94"/>
      <c r="F325" s="94"/>
      <c r="G325" s="94"/>
      <c r="H325" s="94"/>
      <c r="I325" s="4"/>
      <c r="J325" s="12"/>
      <c r="K325" s="4"/>
      <c r="L325" s="4"/>
      <c r="M325" s="4"/>
      <c r="N325" s="4"/>
      <c r="O325" s="4"/>
      <c r="P325" s="4"/>
      <c r="Q325" s="4"/>
      <c r="R325" s="4"/>
      <c r="S325" s="4"/>
      <c r="T325" s="4"/>
      <c r="U325" s="4"/>
      <c r="V325" s="4"/>
      <c r="W325" s="4"/>
    </row>
    <row r="326" spans="1:23" ht="12.75">
      <c r="A326" s="4"/>
      <c r="B326" s="12"/>
      <c r="C326" s="94"/>
      <c r="D326" s="94" t="s">
        <v>379</v>
      </c>
      <c r="E326" s="94"/>
      <c r="F326" s="94"/>
      <c r="G326" s="111">
        <f>E11</f>
        <v>445023.5</v>
      </c>
      <c r="H326" s="94"/>
      <c r="I326" s="4"/>
      <c r="J326" s="12"/>
      <c r="K326" s="4"/>
      <c r="L326" s="4"/>
      <c r="M326" s="4"/>
      <c r="N326" s="4"/>
      <c r="O326" s="4"/>
      <c r="P326" s="4"/>
      <c r="Q326" s="4"/>
      <c r="R326" s="4"/>
      <c r="S326" s="4"/>
      <c r="T326" s="4"/>
      <c r="U326" s="4"/>
      <c r="V326" s="4"/>
      <c r="W326" s="4"/>
    </row>
    <row r="327" spans="1:23" ht="12.75">
      <c r="A327" s="4"/>
      <c r="B327" s="12"/>
      <c r="C327" s="94"/>
      <c r="D327" s="94"/>
      <c r="E327" s="94"/>
      <c r="F327" s="94"/>
      <c r="G327" s="94"/>
      <c r="H327" s="94"/>
      <c r="I327" s="4"/>
      <c r="J327" s="363"/>
      <c r="K327" s="4"/>
      <c r="L327" s="4"/>
      <c r="M327" s="4"/>
      <c r="N327" s="4"/>
      <c r="O327" s="4"/>
      <c r="P327" s="4"/>
      <c r="Q327" s="4"/>
      <c r="R327" s="4"/>
      <c r="S327" s="4"/>
      <c r="T327" s="4"/>
      <c r="U327" s="4"/>
      <c r="V327" s="4"/>
      <c r="W327" s="4"/>
    </row>
    <row r="328" spans="1:23" ht="12.75">
      <c r="A328" s="4"/>
      <c r="B328" s="12"/>
      <c r="C328" s="94"/>
      <c r="D328" s="94" t="s">
        <v>380</v>
      </c>
      <c r="E328" s="94"/>
      <c r="F328" s="94"/>
      <c r="G328" s="111">
        <f>E260</f>
        <v>554477.6959999995</v>
      </c>
      <c r="H328" s="94"/>
      <c r="I328" s="4"/>
      <c r="J328" s="12"/>
      <c r="K328" s="4"/>
      <c r="L328" s="4"/>
      <c r="M328" s="4"/>
      <c r="N328" s="4"/>
      <c r="O328" s="4"/>
      <c r="P328" s="4"/>
      <c r="Q328" s="4"/>
      <c r="R328" s="4"/>
      <c r="S328" s="4"/>
      <c r="T328" s="4"/>
      <c r="U328" s="4"/>
      <c r="V328" s="4"/>
      <c r="W328" s="4"/>
    </row>
    <row r="329" spans="1:23" ht="12.75">
      <c r="A329" s="4"/>
      <c r="B329" s="12"/>
      <c r="C329" s="94"/>
      <c r="D329" s="94"/>
      <c r="E329" s="94"/>
      <c r="F329" s="94"/>
      <c r="G329" s="94"/>
      <c r="H329" s="94"/>
      <c r="I329" s="4"/>
      <c r="J329" s="12"/>
      <c r="K329" s="4"/>
      <c r="L329" s="4"/>
      <c r="M329" s="4"/>
      <c r="N329" s="4"/>
      <c r="O329" s="4"/>
      <c r="P329" s="4"/>
      <c r="Q329" s="4"/>
      <c r="R329" s="4"/>
      <c r="S329" s="4"/>
      <c r="T329" s="4"/>
      <c r="U329" s="4"/>
      <c r="V329" s="4"/>
      <c r="W329" s="4"/>
    </row>
    <row r="330" spans="1:23" ht="12.75">
      <c r="A330" s="4"/>
      <c r="B330" s="12"/>
      <c r="C330" s="154"/>
      <c r="D330" s="154"/>
      <c r="E330" s="154"/>
      <c r="F330" s="154"/>
      <c r="G330" s="154"/>
      <c r="H330" s="154"/>
      <c r="I330" s="12"/>
      <c r="J330" s="12"/>
      <c r="K330" s="4"/>
      <c r="L330" s="4"/>
      <c r="M330" s="4"/>
      <c r="N330" s="4"/>
      <c r="O330" s="4"/>
      <c r="P330" s="4"/>
      <c r="Q330" s="4"/>
      <c r="R330" s="4"/>
      <c r="S330" s="4"/>
      <c r="T330" s="4"/>
      <c r="U330" s="4"/>
      <c r="V330" s="4"/>
      <c r="W330" s="4"/>
    </row>
    <row r="331" spans="1:23" ht="12.75">
      <c r="A331" s="4"/>
      <c r="B331" s="4"/>
      <c r="C331" s="94"/>
      <c r="D331" s="94"/>
      <c r="E331" s="94"/>
      <c r="F331" s="94"/>
      <c r="G331" s="94"/>
      <c r="H331" s="94"/>
      <c r="I331" s="4"/>
      <c r="J331" s="4"/>
      <c r="K331" s="4"/>
      <c r="L331" s="4"/>
      <c r="M331" s="4"/>
      <c r="N331" s="4"/>
      <c r="O331" s="4"/>
      <c r="P331" s="4"/>
      <c r="Q331" s="4"/>
      <c r="R331" s="4"/>
      <c r="S331" s="4"/>
      <c r="T331" s="4"/>
      <c r="U331" s="4"/>
      <c r="V331" s="4"/>
      <c r="W331" s="4"/>
    </row>
    <row r="332" spans="1:23" ht="12.75">
      <c r="A332" s="4"/>
      <c r="B332" s="4"/>
      <c r="C332" s="94"/>
      <c r="D332" s="94"/>
      <c r="E332" s="94"/>
      <c r="F332" s="94"/>
      <c r="G332" s="94"/>
      <c r="H332" s="94"/>
      <c r="I332" s="4"/>
      <c r="J332" s="4"/>
      <c r="K332" s="4"/>
      <c r="L332" s="4"/>
      <c r="M332" s="4"/>
      <c r="N332" s="4"/>
      <c r="O332" s="4"/>
      <c r="P332" s="4"/>
      <c r="Q332" s="4"/>
      <c r="R332" s="4"/>
      <c r="S332" s="4"/>
      <c r="T332" s="4"/>
      <c r="U332" s="4"/>
      <c r="V332" s="4"/>
      <c r="W332" s="4"/>
    </row>
    <row r="333" spans="1:23" ht="12.75">
      <c r="A333" s="4"/>
      <c r="B333" s="4"/>
      <c r="C333" s="94"/>
      <c r="D333" s="94"/>
      <c r="E333" s="94"/>
      <c r="F333" s="94"/>
      <c r="G333" s="94"/>
      <c r="H333" s="94"/>
      <c r="I333" s="4"/>
      <c r="J333" s="4"/>
      <c r="K333" s="4"/>
      <c r="L333" s="4"/>
      <c r="M333" s="4"/>
      <c r="N333" s="4"/>
      <c r="O333" s="4"/>
      <c r="P333" s="4"/>
      <c r="Q333" s="4"/>
      <c r="R333" s="4"/>
      <c r="S333" s="4"/>
      <c r="T333" s="4"/>
      <c r="U333" s="4"/>
      <c r="V333" s="4"/>
      <c r="W333" s="4"/>
    </row>
    <row r="334" spans="1:23" ht="12.75">
      <c r="A334" s="4"/>
      <c r="B334" s="4"/>
      <c r="C334" s="94"/>
      <c r="D334" s="94"/>
      <c r="E334" s="94"/>
      <c r="F334" s="94"/>
      <c r="G334" s="94"/>
      <c r="H334" s="94"/>
      <c r="I334" s="4"/>
      <c r="J334" s="4"/>
      <c r="K334" s="4"/>
      <c r="L334" s="4"/>
      <c r="M334" s="4"/>
      <c r="N334" s="4"/>
      <c r="O334" s="4"/>
      <c r="P334" s="4"/>
      <c r="Q334" s="4"/>
      <c r="R334" s="4"/>
      <c r="S334" s="4"/>
      <c r="T334" s="4"/>
      <c r="U334" s="4"/>
      <c r="V334" s="4"/>
      <c r="W334" s="4"/>
    </row>
    <row r="335" spans="1:23" ht="12.75">
      <c r="A335" s="4"/>
      <c r="B335" s="4"/>
      <c r="C335" s="94"/>
      <c r="D335" s="94"/>
      <c r="E335" s="94"/>
      <c r="F335" s="94"/>
      <c r="G335" s="94"/>
      <c r="H335" s="94"/>
      <c r="I335" s="4"/>
      <c r="J335" s="4"/>
      <c r="K335" s="4"/>
      <c r="L335" s="4"/>
      <c r="M335" s="4"/>
      <c r="N335" s="4"/>
      <c r="O335" s="4"/>
      <c r="P335" s="4"/>
      <c r="Q335" s="4"/>
      <c r="R335" s="4"/>
      <c r="S335" s="4"/>
      <c r="T335" s="4"/>
      <c r="U335" s="4"/>
      <c r="V335" s="4"/>
      <c r="W335" s="4"/>
    </row>
    <row r="336" spans="1:23" ht="12.75">
      <c r="A336" s="4"/>
      <c r="B336" s="4"/>
      <c r="C336" s="94"/>
      <c r="D336" s="94"/>
      <c r="E336" s="94"/>
      <c r="F336" s="94"/>
      <c r="G336" s="94"/>
      <c r="H336" s="94"/>
      <c r="I336" s="4"/>
      <c r="J336" s="4"/>
      <c r="K336" s="4"/>
      <c r="L336" s="4"/>
      <c r="M336" s="4"/>
      <c r="N336" s="4"/>
      <c r="O336" s="4"/>
      <c r="P336" s="4"/>
      <c r="Q336" s="4"/>
      <c r="R336" s="4"/>
      <c r="S336" s="4"/>
      <c r="T336" s="4"/>
      <c r="U336" s="4"/>
      <c r="V336" s="4"/>
      <c r="W336" s="4"/>
    </row>
    <row r="337" spans="1:23" ht="12.75">
      <c r="A337" s="4"/>
      <c r="B337" s="4"/>
      <c r="C337" s="94"/>
      <c r="D337" s="94"/>
      <c r="E337" s="94"/>
      <c r="F337" s="94"/>
      <c r="G337" s="94"/>
      <c r="H337" s="94"/>
      <c r="I337" s="4"/>
      <c r="J337" s="4"/>
      <c r="K337" s="4"/>
      <c r="L337" s="4"/>
      <c r="M337" s="4"/>
      <c r="N337" s="4"/>
      <c r="O337" s="4"/>
      <c r="P337" s="4"/>
      <c r="Q337" s="4"/>
      <c r="R337" s="4"/>
      <c r="S337" s="4"/>
      <c r="T337" s="4"/>
      <c r="U337" s="4"/>
      <c r="V337" s="4"/>
      <c r="W337" s="4"/>
    </row>
    <row r="338" spans="1:23" ht="12.75">
      <c r="A338" s="4"/>
      <c r="B338" s="4"/>
      <c r="C338" s="94"/>
      <c r="D338" s="94"/>
      <c r="E338" s="94"/>
      <c r="F338" s="94"/>
      <c r="G338" s="94"/>
      <c r="H338" s="94"/>
      <c r="I338" s="4"/>
      <c r="J338" s="4"/>
      <c r="K338" s="4"/>
      <c r="L338" s="4"/>
      <c r="M338" s="4"/>
      <c r="N338" s="4"/>
      <c r="O338" s="4"/>
      <c r="P338" s="4"/>
      <c r="Q338" s="4"/>
      <c r="R338" s="4"/>
      <c r="S338" s="4"/>
      <c r="T338" s="4"/>
      <c r="U338" s="4"/>
      <c r="V338" s="4"/>
      <c r="W338" s="4"/>
    </row>
    <row r="339" spans="1:23" ht="12.75">
      <c r="A339" s="4"/>
      <c r="B339" s="4"/>
      <c r="C339" s="94"/>
      <c r="D339" s="94"/>
      <c r="E339" s="94"/>
      <c r="F339" s="94"/>
      <c r="G339" s="94"/>
      <c r="H339" s="94"/>
      <c r="I339" s="4"/>
      <c r="J339" s="4"/>
      <c r="K339" s="4"/>
      <c r="L339" s="4"/>
      <c r="M339" s="4"/>
      <c r="N339" s="4"/>
      <c r="O339" s="4"/>
      <c r="P339" s="4"/>
      <c r="Q339" s="4"/>
      <c r="R339" s="4"/>
      <c r="S339" s="4"/>
      <c r="T339" s="4"/>
      <c r="U339" s="4"/>
      <c r="V339" s="4"/>
      <c r="W339" s="4"/>
    </row>
    <row r="340" spans="1:23" ht="12.75">
      <c r="A340" s="4"/>
      <c r="B340" s="4"/>
      <c r="C340" s="94"/>
      <c r="D340" s="94"/>
      <c r="E340" s="94"/>
      <c r="F340" s="94"/>
      <c r="G340" s="94"/>
      <c r="H340" s="94"/>
      <c r="I340" s="4"/>
      <c r="J340" s="4"/>
      <c r="K340" s="4"/>
      <c r="L340" s="4"/>
      <c r="M340" s="4"/>
      <c r="N340" s="4"/>
      <c r="O340" s="4"/>
      <c r="P340" s="4"/>
      <c r="Q340" s="4"/>
      <c r="R340" s="4"/>
      <c r="S340" s="4"/>
      <c r="T340" s="4"/>
      <c r="U340" s="4"/>
      <c r="V340" s="4"/>
      <c r="W340" s="4"/>
    </row>
    <row r="341" spans="1:23" ht="12.75">
      <c r="A341" s="4"/>
      <c r="B341" s="4"/>
      <c r="C341" s="94"/>
      <c r="D341" s="94"/>
      <c r="E341" s="94"/>
      <c r="F341" s="94"/>
      <c r="G341" s="94"/>
      <c r="H341" s="94"/>
      <c r="I341" s="4"/>
      <c r="J341" s="4"/>
      <c r="K341" s="4"/>
      <c r="L341" s="4"/>
      <c r="M341" s="4"/>
      <c r="N341" s="4"/>
      <c r="O341" s="4"/>
      <c r="P341" s="4"/>
      <c r="Q341" s="4"/>
      <c r="R341" s="4"/>
      <c r="S341" s="4"/>
      <c r="T341" s="4"/>
      <c r="U341" s="4"/>
      <c r="V341" s="4"/>
      <c r="W341" s="4"/>
    </row>
    <row r="342" spans="1:23" ht="12.75">
      <c r="A342" s="4"/>
      <c r="B342" s="4"/>
      <c r="C342" s="94"/>
      <c r="D342" s="94"/>
      <c r="E342" s="94"/>
      <c r="F342" s="94"/>
      <c r="G342" s="94"/>
      <c r="H342" s="94"/>
      <c r="I342" s="4"/>
      <c r="J342" s="4"/>
      <c r="K342" s="4"/>
      <c r="L342" s="4"/>
      <c r="M342" s="4"/>
      <c r="N342" s="4"/>
      <c r="O342" s="4"/>
      <c r="P342" s="4"/>
      <c r="Q342" s="4"/>
      <c r="R342" s="4"/>
      <c r="S342" s="4"/>
      <c r="T342" s="4"/>
      <c r="U342" s="4"/>
      <c r="V342" s="4"/>
      <c r="W342" s="4"/>
    </row>
    <row r="343" spans="1:23" ht="12.75">
      <c r="A343" s="4"/>
      <c r="B343" s="4"/>
      <c r="C343" s="94"/>
      <c r="D343" s="94"/>
      <c r="E343" s="94"/>
      <c r="F343" s="94"/>
      <c r="G343" s="94"/>
      <c r="H343" s="94"/>
      <c r="I343" s="4"/>
      <c r="J343" s="4"/>
      <c r="K343" s="4"/>
      <c r="L343" s="4"/>
      <c r="M343" s="4"/>
      <c r="N343" s="4"/>
      <c r="O343" s="4"/>
      <c r="P343" s="4"/>
      <c r="Q343" s="4"/>
      <c r="R343" s="4"/>
      <c r="S343" s="4"/>
      <c r="T343" s="4"/>
      <c r="U343" s="4"/>
      <c r="V343" s="4"/>
      <c r="W343" s="4"/>
    </row>
    <row r="344" spans="1:23" ht="12.75">
      <c r="A344" s="4"/>
      <c r="B344" s="4"/>
      <c r="C344" s="94"/>
      <c r="D344" s="94"/>
      <c r="E344" s="94"/>
      <c r="F344" s="94"/>
      <c r="G344" s="94"/>
      <c r="H344" s="94"/>
      <c r="I344" s="4"/>
      <c r="J344" s="4"/>
      <c r="K344" s="4"/>
      <c r="L344" s="4"/>
      <c r="M344" s="4"/>
      <c r="N344" s="4"/>
      <c r="O344" s="4"/>
      <c r="P344" s="4"/>
      <c r="Q344" s="4"/>
      <c r="R344" s="4"/>
      <c r="S344" s="4"/>
      <c r="T344" s="4"/>
      <c r="U344" s="4"/>
      <c r="V344" s="4"/>
      <c r="W344" s="4"/>
    </row>
    <row r="345" spans="1:23" ht="12.75">
      <c r="A345" s="4"/>
      <c r="B345" s="4"/>
      <c r="C345" s="94"/>
      <c r="D345" s="94"/>
      <c r="E345" s="94"/>
      <c r="F345" s="94"/>
      <c r="G345" s="94"/>
      <c r="H345" s="94"/>
      <c r="I345" s="4"/>
      <c r="J345" s="4"/>
      <c r="K345" s="4"/>
      <c r="L345" s="4"/>
      <c r="M345" s="4"/>
      <c r="N345" s="4"/>
      <c r="O345" s="4"/>
      <c r="P345" s="4"/>
      <c r="Q345" s="4"/>
      <c r="R345" s="4"/>
      <c r="S345" s="4"/>
      <c r="T345" s="4"/>
      <c r="U345" s="4"/>
      <c r="V345" s="4"/>
      <c r="W345" s="4"/>
    </row>
    <row r="346" spans="1:23" ht="12.75">
      <c r="A346" s="4"/>
      <c r="B346" s="4"/>
      <c r="C346" s="94"/>
      <c r="D346" s="94"/>
      <c r="E346" s="94"/>
      <c r="F346" s="94"/>
      <c r="G346" s="94"/>
      <c r="H346" s="94"/>
      <c r="I346" s="4"/>
      <c r="J346" s="4"/>
      <c r="K346" s="4"/>
      <c r="L346" s="4"/>
      <c r="M346" s="4"/>
      <c r="N346" s="4"/>
      <c r="O346" s="4"/>
      <c r="P346" s="4"/>
      <c r="Q346" s="4"/>
      <c r="R346" s="4"/>
      <c r="S346" s="4"/>
      <c r="T346" s="4"/>
      <c r="U346" s="4"/>
      <c r="V346" s="4"/>
      <c r="W346" s="4"/>
    </row>
    <row r="347" spans="1:23" ht="12.75">
      <c r="A347" s="4"/>
      <c r="B347" s="4"/>
      <c r="C347" s="94"/>
      <c r="D347" s="94"/>
      <c r="E347" s="94"/>
      <c r="F347" s="94"/>
      <c r="G347" s="94"/>
      <c r="H347" s="94"/>
      <c r="I347" s="4"/>
      <c r="J347" s="4"/>
      <c r="K347" s="4"/>
      <c r="L347" s="4"/>
      <c r="M347" s="4"/>
      <c r="N347" s="4"/>
      <c r="O347" s="4"/>
      <c r="P347" s="4"/>
      <c r="Q347" s="4"/>
      <c r="R347" s="4"/>
      <c r="S347" s="4"/>
      <c r="T347" s="4"/>
      <c r="U347" s="4"/>
      <c r="V347" s="4"/>
      <c r="W347" s="4"/>
    </row>
    <row r="348" spans="1:23" ht="12.75">
      <c r="A348" s="4"/>
      <c r="B348" s="4"/>
      <c r="C348" s="94"/>
      <c r="D348" s="94"/>
      <c r="E348" s="94"/>
      <c r="F348" s="94"/>
      <c r="G348" s="94"/>
      <c r="H348" s="94"/>
      <c r="I348" s="4"/>
      <c r="J348" s="4"/>
      <c r="K348" s="4"/>
      <c r="L348" s="4"/>
      <c r="M348" s="4"/>
      <c r="N348" s="4"/>
      <c r="O348" s="4"/>
      <c r="P348" s="4"/>
      <c r="Q348" s="4"/>
      <c r="R348" s="4"/>
      <c r="S348" s="4"/>
      <c r="T348" s="4"/>
      <c r="U348" s="4"/>
      <c r="V348" s="4"/>
      <c r="W348" s="4"/>
    </row>
    <row r="349" spans="1:23" ht="12.75">
      <c r="A349" s="4"/>
      <c r="B349" s="4"/>
      <c r="C349" s="94"/>
      <c r="D349" s="94"/>
      <c r="E349" s="94"/>
      <c r="F349" s="94"/>
      <c r="G349" s="94"/>
      <c r="H349" s="94"/>
      <c r="I349" s="4"/>
      <c r="J349" s="4"/>
      <c r="K349" s="4"/>
      <c r="L349" s="4"/>
      <c r="M349" s="4"/>
      <c r="N349" s="4"/>
      <c r="O349" s="4"/>
      <c r="P349" s="4"/>
      <c r="Q349" s="4"/>
      <c r="R349" s="4"/>
      <c r="S349" s="4"/>
      <c r="T349" s="4"/>
      <c r="U349" s="4"/>
      <c r="V349" s="4"/>
      <c r="W349" s="4"/>
    </row>
    <row r="350" spans="1:23" ht="12.75">
      <c r="A350" s="4"/>
      <c r="B350" s="4"/>
      <c r="C350" s="94"/>
      <c r="D350" s="94"/>
      <c r="E350" s="94"/>
      <c r="F350" s="94"/>
      <c r="G350" s="94"/>
      <c r="H350" s="94"/>
      <c r="I350" s="4"/>
      <c r="J350" s="4"/>
      <c r="K350" s="4"/>
      <c r="L350" s="4"/>
      <c r="M350" s="4"/>
      <c r="N350" s="4"/>
      <c r="O350" s="4"/>
      <c r="P350" s="4"/>
      <c r="Q350" s="4"/>
      <c r="R350" s="4"/>
      <c r="S350" s="4"/>
      <c r="T350" s="4"/>
      <c r="U350" s="4"/>
      <c r="V350" s="4"/>
      <c r="W350" s="4"/>
    </row>
    <row r="351" spans="1:23" ht="12.75">
      <c r="A351" s="4"/>
      <c r="B351" s="4"/>
      <c r="C351" s="94"/>
      <c r="D351" s="94"/>
      <c r="E351" s="94"/>
      <c r="F351" s="94"/>
      <c r="G351" s="94"/>
      <c r="H351" s="94"/>
      <c r="I351" s="4"/>
      <c r="J351" s="4"/>
      <c r="K351" s="4"/>
      <c r="L351" s="4"/>
      <c r="M351" s="4"/>
      <c r="N351" s="4"/>
      <c r="O351" s="4"/>
      <c r="P351" s="4"/>
      <c r="Q351" s="4"/>
      <c r="R351" s="4"/>
      <c r="S351" s="4"/>
      <c r="T351" s="4"/>
      <c r="U351" s="4"/>
      <c r="V351" s="4"/>
      <c r="W351" s="4"/>
    </row>
    <row r="352" spans="1:23" ht="12.75">
      <c r="A352" s="4"/>
      <c r="B352" s="4"/>
      <c r="C352" s="94"/>
      <c r="D352" s="94"/>
      <c r="E352" s="94"/>
      <c r="F352" s="94"/>
      <c r="G352" s="94"/>
      <c r="H352" s="94"/>
      <c r="I352" s="4"/>
      <c r="J352" s="4"/>
      <c r="K352" s="4"/>
      <c r="L352" s="4"/>
      <c r="M352" s="4"/>
      <c r="N352" s="4"/>
      <c r="O352" s="4"/>
      <c r="P352" s="4"/>
      <c r="Q352" s="4"/>
      <c r="R352" s="4"/>
      <c r="S352" s="4"/>
      <c r="T352" s="4"/>
      <c r="U352" s="4"/>
      <c r="V352" s="4"/>
      <c r="W352" s="4"/>
    </row>
    <row r="353" spans="3:8" ht="12.75">
      <c r="C353" s="148"/>
      <c r="D353" s="148"/>
      <c r="E353" s="148"/>
      <c r="F353" s="148"/>
      <c r="G353" s="148"/>
      <c r="H353" s="148"/>
    </row>
    <row r="354" spans="3:8" ht="12.75">
      <c r="C354" s="148"/>
      <c r="D354" s="148"/>
      <c r="E354" s="148"/>
      <c r="F354" s="148"/>
      <c r="G354" s="148"/>
      <c r="H354" s="148"/>
    </row>
    <row r="355" spans="3:8" ht="12.75">
      <c r="C355" s="148"/>
      <c r="D355" s="148"/>
      <c r="E355" s="148"/>
      <c r="F355" s="148"/>
      <c r="G355" s="148"/>
      <c r="H355" s="148"/>
    </row>
    <row r="356" spans="3:8" ht="12.75">
      <c r="C356" s="148"/>
      <c r="D356" s="148"/>
      <c r="E356" s="148"/>
      <c r="F356" s="148"/>
      <c r="G356" s="148"/>
      <c r="H356" s="148"/>
    </row>
    <row r="357" spans="3:8" ht="12.75">
      <c r="C357" s="148"/>
      <c r="D357" s="148"/>
      <c r="E357" s="148"/>
      <c r="F357" s="148"/>
      <c r="G357" s="148"/>
      <c r="H357" s="148"/>
    </row>
    <row r="358" spans="3:8" ht="12.75">
      <c r="C358" s="148"/>
      <c r="D358" s="148"/>
      <c r="E358" s="148"/>
      <c r="F358" s="148"/>
      <c r="G358" s="148"/>
      <c r="H358" s="148"/>
    </row>
    <row r="359" spans="3:8" ht="12.75">
      <c r="C359" s="148"/>
      <c r="D359" s="148"/>
      <c r="E359" s="148"/>
      <c r="F359" s="148"/>
      <c r="G359" s="148"/>
      <c r="H359" s="148"/>
    </row>
  </sheetData>
  <sheetProtection password="CE3F" sheet="1" selectLockedCells="1" selectUnlockedCells="1"/>
  <mergeCells count="30">
    <mergeCell ref="D207:I207"/>
    <mergeCell ref="D208:I208"/>
    <mergeCell ref="D209:I209"/>
    <mergeCell ref="D57:E57"/>
    <mergeCell ref="F57:G57"/>
    <mergeCell ref="D49:E49"/>
    <mergeCell ref="D50:E50"/>
    <mergeCell ref="D51:E51"/>
    <mergeCell ref="D89:E89"/>
    <mergeCell ref="D65:E65"/>
    <mergeCell ref="D66:E66"/>
    <mergeCell ref="D58:E58"/>
    <mergeCell ref="F58:G58"/>
    <mergeCell ref="D124:E124"/>
    <mergeCell ref="D149:E149"/>
    <mergeCell ref="D150:E150"/>
    <mergeCell ref="D67:E67"/>
    <mergeCell ref="D75:E75"/>
    <mergeCell ref="D76:E76"/>
    <mergeCell ref="D77:E77"/>
    <mergeCell ref="D88:E88"/>
    <mergeCell ref="D111:E111"/>
    <mergeCell ref="D104:H104"/>
    <mergeCell ref="D151:E151"/>
    <mergeCell ref="D90:E90"/>
    <mergeCell ref="D112:E112"/>
    <mergeCell ref="D113:E113"/>
    <mergeCell ref="D114:H114"/>
    <mergeCell ref="D123:E123"/>
    <mergeCell ref="D122:E122"/>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B100"/>
  <sheetViews>
    <sheetView zoomScalePageLayoutView="0" workbookViewId="0" topLeftCell="A31">
      <selection activeCell="O64" sqref="O64"/>
    </sheetView>
  </sheetViews>
  <sheetFormatPr defaultColWidth="9.140625" defaultRowHeight="12.75"/>
  <cols>
    <col min="1" max="1" width="3.00390625" style="0" customWidth="1"/>
    <col min="2" max="2" width="2.28125" style="0" customWidth="1"/>
    <col min="3" max="3" width="2.8515625" style="0" customWidth="1"/>
    <col min="4" max="4" width="34.421875" style="0" customWidth="1"/>
    <col min="5" max="5" width="3.00390625" style="0" customWidth="1"/>
    <col min="6" max="6" width="11.28125" style="0" customWidth="1"/>
    <col min="7" max="7" width="2.7109375" style="0" customWidth="1"/>
    <col min="8" max="8" width="11.00390625" style="0" customWidth="1"/>
    <col min="9" max="9" width="2.8515625" style="0" customWidth="1"/>
    <col min="10" max="10" width="9.00390625" style="0" customWidth="1"/>
    <col min="11" max="11" width="10.00390625" style="0" customWidth="1"/>
    <col min="12" max="12" width="2.28125" style="0" customWidth="1"/>
    <col min="13" max="13" width="2.8515625" style="0" customWidth="1"/>
    <col min="14" max="14" width="2.421875" style="0" customWidth="1"/>
    <col min="15" max="15" width="2.8515625" style="0" customWidth="1"/>
  </cols>
  <sheetData>
    <row r="1" spans="1:28" ht="12.75">
      <c r="A1" s="4"/>
      <c r="B1" s="4"/>
      <c r="C1" s="4"/>
      <c r="D1" s="4"/>
      <c r="E1" s="4"/>
      <c r="F1" s="4"/>
      <c r="G1" s="4"/>
      <c r="H1" s="4"/>
      <c r="I1" s="4"/>
      <c r="J1" s="4"/>
      <c r="K1" s="4"/>
      <c r="L1" s="4"/>
      <c r="M1" s="4"/>
      <c r="N1" s="4"/>
      <c r="O1" s="4"/>
      <c r="P1" s="4"/>
      <c r="Q1" s="4"/>
      <c r="R1" s="4"/>
      <c r="S1" s="4"/>
      <c r="T1" s="4"/>
      <c r="U1" s="4"/>
      <c r="V1" s="4"/>
      <c r="W1" s="4"/>
      <c r="X1" s="4"/>
      <c r="Y1" s="4"/>
      <c r="Z1" s="4"/>
      <c r="AA1" s="4"/>
      <c r="AB1" s="4"/>
    </row>
    <row r="2" spans="1:28" ht="12.75">
      <c r="A2" s="4"/>
      <c r="B2" s="12"/>
      <c r="C2" s="12"/>
      <c r="D2" s="225"/>
      <c r="E2" s="225"/>
      <c r="F2" s="225"/>
      <c r="G2" s="225"/>
      <c r="H2" s="225"/>
      <c r="I2" s="226"/>
      <c r="J2" s="226"/>
      <c r="K2" s="226"/>
      <c r="L2" s="226"/>
      <c r="M2" s="226"/>
      <c r="N2" s="12"/>
      <c r="O2" s="4"/>
      <c r="P2" s="4"/>
      <c r="Q2" s="4"/>
      <c r="R2" s="4"/>
      <c r="S2" s="4"/>
      <c r="T2" s="4"/>
      <c r="U2" s="4"/>
      <c r="V2" s="4"/>
      <c r="W2" s="4"/>
      <c r="X2" s="4"/>
      <c r="Y2" s="4"/>
      <c r="Z2" s="4"/>
      <c r="AA2" s="4"/>
      <c r="AB2" s="4"/>
    </row>
    <row r="3" spans="1:28" ht="12.75">
      <c r="A3" s="4"/>
      <c r="B3" s="12"/>
      <c r="C3" s="4"/>
      <c r="D3" s="4"/>
      <c r="E3" s="4"/>
      <c r="F3" s="4"/>
      <c r="G3" s="4"/>
      <c r="H3" s="4"/>
      <c r="I3" s="4"/>
      <c r="J3" s="4"/>
      <c r="K3" s="4"/>
      <c r="L3" s="4"/>
      <c r="M3" s="4"/>
      <c r="N3" s="12"/>
      <c r="O3" s="4"/>
      <c r="P3" s="4"/>
      <c r="Q3" s="4"/>
      <c r="R3" s="4"/>
      <c r="S3" s="4"/>
      <c r="T3" s="4"/>
      <c r="U3" s="4"/>
      <c r="V3" s="4"/>
      <c r="W3" s="4"/>
      <c r="X3" s="4"/>
      <c r="Y3" s="4"/>
      <c r="Z3" s="4"/>
      <c r="AA3" s="4"/>
      <c r="AB3" s="4"/>
    </row>
    <row r="4" spans="1:28" ht="12.75">
      <c r="A4" s="4"/>
      <c r="B4" s="12"/>
      <c r="C4" s="4"/>
      <c r="D4" s="491" t="s">
        <v>54</v>
      </c>
      <c r="E4" s="491"/>
      <c r="F4" s="491"/>
      <c r="G4" s="491"/>
      <c r="H4" s="492"/>
      <c r="I4" s="100"/>
      <c r="J4" s="4"/>
      <c r="K4" s="4"/>
      <c r="L4" s="4"/>
      <c r="M4" s="4"/>
      <c r="N4" s="12"/>
      <c r="O4" s="4"/>
      <c r="P4" s="4"/>
      <c r="Q4" s="4"/>
      <c r="R4" s="4"/>
      <c r="S4" s="4"/>
      <c r="T4" s="4"/>
      <c r="U4" s="4"/>
      <c r="V4" s="4"/>
      <c r="W4" s="4"/>
      <c r="X4" s="4"/>
      <c r="Y4" s="4"/>
      <c r="Z4" s="4"/>
      <c r="AA4" s="4"/>
      <c r="AB4" s="4"/>
    </row>
    <row r="5" spans="1:28" ht="12.75">
      <c r="A5" s="4"/>
      <c r="B5" s="12"/>
      <c r="C5" s="4"/>
      <c r="D5" s="491" t="s">
        <v>399</v>
      </c>
      <c r="E5" s="491"/>
      <c r="F5" s="491"/>
      <c r="G5" s="491"/>
      <c r="H5" s="492"/>
      <c r="I5" s="180"/>
      <c r="J5" s="4"/>
      <c r="K5" s="4"/>
      <c r="L5" s="4"/>
      <c r="M5" s="4"/>
      <c r="N5" s="12"/>
      <c r="O5" s="4"/>
      <c r="P5" s="4"/>
      <c r="Q5" s="4"/>
      <c r="R5" s="4"/>
      <c r="S5" s="4"/>
      <c r="T5" s="4"/>
      <c r="U5" s="4"/>
      <c r="V5" s="4"/>
      <c r="W5" s="4"/>
      <c r="X5" s="4"/>
      <c r="Y5" s="4"/>
      <c r="Z5" s="4"/>
      <c r="AA5" s="4"/>
      <c r="AB5" s="4"/>
    </row>
    <row r="6" spans="1:28" ht="12.75">
      <c r="A6" s="4"/>
      <c r="B6" s="12"/>
      <c r="C6" s="4"/>
      <c r="D6" s="493" t="s">
        <v>468</v>
      </c>
      <c r="E6" s="493"/>
      <c r="F6" s="493"/>
      <c r="G6" s="493"/>
      <c r="H6" s="492"/>
      <c r="I6" s="180"/>
      <c r="J6" s="4"/>
      <c r="K6" s="4"/>
      <c r="L6" s="4"/>
      <c r="M6" s="4"/>
      <c r="N6" s="12"/>
      <c r="O6" s="4"/>
      <c r="P6" s="4"/>
      <c r="Q6" s="4"/>
      <c r="R6" s="4"/>
      <c r="S6" s="4"/>
      <c r="T6" s="4"/>
      <c r="U6" s="4"/>
      <c r="V6" s="4"/>
      <c r="W6" s="4"/>
      <c r="X6" s="4"/>
      <c r="Y6" s="4"/>
      <c r="Z6" s="4"/>
      <c r="AA6" s="4"/>
      <c r="AB6" s="4"/>
    </row>
    <row r="7" spans="1:28" ht="12.75">
      <c r="A7" s="4"/>
      <c r="B7" s="12"/>
      <c r="C7" s="4"/>
      <c r="D7" s="157"/>
      <c r="E7" s="157"/>
      <c r="F7" s="157"/>
      <c r="G7" s="157"/>
      <c r="H7" s="514"/>
      <c r="I7" s="515"/>
      <c r="J7" s="515"/>
      <c r="K7" s="4"/>
      <c r="L7" s="94"/>
      <c r="M7" s="4"/>
      <c r="N7" s="12"/>
      <c r="O7" s="4"/>
      <c r="P7" s="4"/>
      <c r="Q7" s="4"/>
      <c r="R7" s="4"/>
      <c r="S7" s="4"/>
      <c r="T7" s="4"/>
      <c r="U7" s="4"/>
      <c r="V7" s="4"/>
      <c r="W7" s="4"/>
      <c r="X7" s="4"/>
      <c r="Y7" s="4"/>
      <c r="Z7" s="4"/>
      <c r="AA7" s="4"/>
      <c r="AB7" s="4"/>
    </row>
    <row r="8" spans="1:28" ht="12.75">
      <c r="A8" s="4"/>
      <c r="B8" s="12"/>
      <c r="C8" s="4"/>
      <c r="D8" s="157"/>
      <c r="E8" s="157"/>
      <c r="F8" s="483" t="s">
        <v>504</v>
      </c>
      <c r="G8" s="157"/>
      <c r="H8" s="138" t="s">
        <v>400</v>
      </c>
      <c r="I8" s="136"/>
      <c r="J8" s="138" t="s">
        <v>394</v>
      </c>
      <c r="K8" s="138" t="s">
        <v>393</v>
      </c>
      <c r="L8" s="94"/>
      <c r="M8" s="4"/>
      <c r="N8" s="12"/>
      <c r="O8" s="4"/>
      <c r="P8" s="4"/>
      <c r="Q8" s="4"/>
      <c r="R8" s="4"/>
      <c r="S8" s="4"/>
      <c r="T8" s="4"/>
      <c r="U8" s="4"/>
      <c r="V8" s="4"/>
      <c r="W8" s="4"/>
      <c r="X8" s="4"/>
      <c r="Y8" s="4"/>
      <c r="Z8" s="4"/>
      <c r="AA8" s="4"/>
      <c r="AB8" s="4"/>
    </row>
    <row r="9" spans="1:28" ht="12.75">
      <c r="A9" s="4"/>
      <c r="B9" s="12"/>
      <c r="C9" s="4"/>
      <c r="D9" s="94"/>
      <c r="E9" s="94"/>
      <c r="F9" s="147">
        <v>3510</v>
      </c>
      <c r="G9" s="94"/>
      <c r="H9" s="181">
        <v>3400</v>
      </c>
      <c r="I9" s="4"/>
      <c r="J9" s="137" t="s">
        <v>395</v>
      </c>
      <c r="K9" s="137" t="s">
        <v>392</v>
      </c>
      <c r="L9" s="94"/>
      <c r="M9" s="4"/>
      <c r="N9" s="12"/>
      <c r="O9" s="4"/>
      <c r="P9" s="4"/>
      <c r="Q9" s="4"/>
      <c r="R9" s="4"/>
      <c r="S9" s="4"/>
      <c r="T9" s="4"/>
      <c r="U9" s="4"/>
      <c r="V9" s="4"/>
      <c r="W9" s="4"/>
      <c r="X9" s="4"/>
      <c r="Y9" s="4"/>
      <c r="Z9" s="4"/>
      <c r="AA9" s="4"/>
      <c r="AB9" s="4"/>
    </row>
    <row r="10" spans="1:28" ht="12.75">
      <c r="A10" s="4"/>
      <c r="B10" s="12"/>
      <c r="C10" s="4"/>
      <c r="D10" s="93" t="s">
        <v>64</v>
      </c>
      <c r="E10" s="93"/>
      <c r="F10" s="93"/>
      <c r="G10" s="93"/>
      <c r="H10" s="94"/>
      <c r="I10" s="95"/>
      <c r="J10" s="94"/>
      <c r="K10" s="4"/>
      <c r="L10" s="4"/>
      <c r="M10" s="4"/>
      <c r="N10" s="12"/>
      <c r="O10" s="4"/>
      <c r="P10" s="4"/>
      <c r="Q10" s="4"/>
      <c r="R10" s="4"/>
      <c r="S10" s="4"/>
      <c r="T10" s="4"/>
      <c r="U10" s="4"/>
      <c r="V10" s="4"/>
      <c r="W10" s="4"/>
      <c r="X10" s="4"/>
      <c r="Y10" s="4"/>
      <c r="Z10" s="4"/>
      <c r="AA10" s="4"/>
      <c r="AB10" s="4"/>
    </row>
    <row r="11" spans="1:28" ht="12.75">
      <c r="A11" s="4"/>
      <c r="B11" s="12"/>
      <c r="C11" s="4"/>
      <c r="D11" s="94" t="s">
        <v>65</v>
      </c>
      <c r="E11" s="94"/>
      <c r="F11" s="161">
        <f>1495*F9</f>
        <v>5247450</v>
      </c>
      <c r="G11" s="94"/>
      <c r="H11" s="161">
        <f>SUM(IncomeStatements!D10)</f>
        <v>5083000</v>
      </c>
      <c r="I11" s="165"/>
      <c r="J11" s="409">
        <f>H11-F11</f>
        <v>-164450</v>
      </c>
      <c r="K11" s="319" t="s">
        <v>405</v>
      </c>
      <c r="L11" s="4"/>
      <c r="M11" s="4"/>
      <c r="N11" s="12"/>
      <c r="O11" s="4"/>
      <c r="P11" s="4"/>
      <c r="Q11" s="4"/>
      <c r="R11" s="4"/>
      <c r="S11" s="4"/>
      <c r="T11" s="4"/>
      <c r="U11" s="4"/>
      <c r="V11" s="4"/>
      <c r="W11" s="4"/>
      <c r="X11" s="4"/>
      <c r="Y11" s="4"/>
      <c r="Z11" s="4"/>
      <c r="AA11" s="4"/>
      <c r="AB11" s="4"/>
    </row>
    <row r="12" spans="1:28" ht="12.75">
      <c r="A12" s="4"/>
      <c r="B12" s="12"/>
      <c r="C12" s="4"/>
      <c r="D12" s="94"/>
      <c r="E12" s="94"/>
      <c r="F12" s="161"/>
      <c r="G12" s="94"/>
      <c r="H12" s="161"/>
      <c r="I12" s="165"/>
      <c r="J12" s="161"/>
      <c r="K12" s="387"/>
      <c r="L12" s="4"/>
      <c r="M12" s="4"/>
      <c r="N12" s="12"/>
      <c r="O12" s="4"/>
      <c r="P12" s="4"/>
      <c r="Q12" s="4"/>
      <c r="R12" s="4"/>
      <c r="S12" s="4"/>
      <c r="T12" s="4"/>
      <c r="U12" s="4"/>
      <c r="V12" s="4"/>
      <c r="W12" s="4"/>
      <c r="X12" s="4"/>
      <c r="Y12" s="4"/>
      <c r="Z12" s="4"/>
      <c r="AA12" s="4"/>
      <c r="AB12" s="4"/>
    </row>
    <row r="13" spans="1:28" ht="12.75">
      <c r="A13" s="4"/>
      <c r="B13" s="12"/>
      <c r="C13" s="4"/>
      <c r="D13" s="93" t="s">
        <v>388</v>
      </c>
      <c r="E13" s="93"/>
      <c r="F13" s="161"/>
      <c r="G13" s="93"/>
      <c r="H13" s="161"/>
      <c r="I13" s="165"/>
      <c r="J13" s="161"/>
      <c r="K13" s="387"/>
      <c r="L13" s="4"/>
      <c r="M13" s="4"/>
      <c r="N13" s="12"/>
      <c r="O13" s="4"/>
      <c r="P13" s="4"/>
      <c r="Q13" s="4"/>
      <c r="R13" s="4"/>
      <c r="S13" s="4"/>
      <c r="T13" s="4"/>
      <c r="U13" s="4"/>
      <c r="V13" s="4"/>
      <c r="W13" s="4"/>
      <c r="X13" s="4"/>
      <c r="Y13" s="4"/>
      <c r="Z13" s="4"/>
      <c r="AA13" s="4"/>
      <c r="AB13" s="4"/>
    </row>
    <row r="14" spans="1:28" ht="12.75">
      <c r="A14" s="4"/>
      <c r="B14" s="12"/>
      <c r="C14" s="4"/>
      <c r="D14" s="94" t="s">
        <v>209</v>
      </c>
      <c r="E14" s="94"/>
      <c r="F14" s="161">
        <f>1326778+965250</f>
        <v>2292028</v>
      </c>
      <c r="G14" s="94"/>
      <c r="H14" s="161">
        <f>SUM(IncomeStatements!H138)</f>
        <v>2220200</v>
      </c>
      <c r="I14" s="165"/>
      <c r="J14" s="409">
        <f aca="true" t="shared" si="0" ref="J14:J20">H14-F14</f>
        <v>-71828</v>
      </c>
      <c r="K14" s="319" t="s">
        <v>322</v>
      </c>
      <c r="L14" s="4"/>
      <c r="M14" s="4"/>
      <c r="N14" s="12"/>
      <c r="O14" s="4"/>
      <c r="P14" s="4"/>
      <c r="Q14" s="4"/>
      <c r="R14" s="4"/>
      <c r="S14" s="4"/>
      <c r="T14" s="4"/>
      <c r="U14" s="4"/>
      <c r="V14" s="4"/>
      <c r="W14" s="4"/>
      <c r="X14" s="4"/>
      <c r="Y14" s="4"/>
      <c r="Z14" s="4"/>
      <c r="AA14" s="4"/>
      <c r="AB14" s="4"/>
    </row>
    <row r="15" spans="1:28" ht="12.75">
      <c r="A15" s="4"/>
      <c r="B15" s="12"/>
      <c r="C15" s="4"/>
      <c r="D15" s="94" t="s">
        <v>168</v>
      </c>
      <c r="E15" s="94"/>
      <c r="F15" s="161">
        <f>F9*300</f>
        <v>1053000</v>
      </c>
      <c r="G15" s="94"/>
      <c r="H15" s="161">
        <f>SUM(IncomeStatements!H139)</f>
        <v>1020000</v>
      </c>
      <c r="I15" s="165"/>
      <c r="J15" s="409">
        <f t="shared" si="0"/>
        <v>-33000</v>
      </c>
      <c r="K15" s="319" t="s">
        <v>322</v>
      </c>
      <c r="L15" s="4"/>
      <c r="M15" s="4"/>
      <c r="N15" s="12"/>
      <c r="O15" s="4"/>
      <c r="P15" s="4"/>
      <c r="Q15" s="4"/>
      <c r="R15" s="4"/>
      <c r="S15" s="4"/>
      <c r="T15" s="4"/>
      <c r="U15" s="4"/>
      <c r="V15" s="4"/>
      <c r="W15" s="4"/>
      <c r="X15" s="4"/>
      <c r="Y15" s="4"/>
      <c r="Z15" s="4"/>
      <c r="AA15" s="4"/>
      <c r="AB15" s="4"/>
    </row>
    <row r="16" spans="1:28" ht="12.75">
      <c r="A16" s="4"/>
      <c r="B16" s="12"/>
      <c r="C16" s="4"/>
      <c r="D16" s="94" t="s">
        <v>210</v>
      </c>
      <c r="E16" s="94"/>
      <c r="F16" s="165">
        <v>331798</v>
      </c>
      <c r="G16" s="94"/>
      <c r="H16" s="165">
        <v>321400</v>
      </c>
      <c r="I16" s="95"/>
      <c r="J16" s="409">
        <f t="shared" si="0"/>
        <v>-10398</v>
      </c>
      <c r="K16" s="319" t="s">
        <v>322</v>
      </c>
      <c r="L16" s="4"/>
      <c r="M16" s="4"/>
      <c r="N16" s="12"/>
      <c r="O16" s="4"/>
      <c r="P16" s="4"/>
      <c r="Q16" s="4"/>
      <c r="R16" s="4"/>
      <c r="S16" s="4"/>
      <c r="T16" s="4"/>
      <c r="U16" s="4"/>
      <c r="V16" s="4"/>
      <c r="W16" s="4"/>
      <c r="X16" s="4"/>
      <c r="Y16" s="4"/>
      <c r="Z16" s="4"/>
      <c r="AA16" s="4"/>
      <c r="AB16" s="4"/>
    </row>
    <row r="17" spans="1:28" ht="12.75">
      <c r="A17" s="4"/>
      <c r="B17" s="12"/>
      <c r="C17" s="4"/>
      <c r="D17" s="94" t="s">
        <v>102</v>
      </c>
      <c r="E17" s="94"/>
      <c r="F17" s="165">
        <f>SUM(Task2_Budgets_and_ProFormas!E154)</f>
        <v>157423.5</v>
      </c>
      <c r="G17" s="94"/>
      <c r="H17" s="165">
        <f>SUM(IncomeStatements!D18)</f>
        <v>152490</v>
      </c>
      <c r="I17" s="95"/>
      <c r="J17" s="409">
        <f t="shared" si="0"/>
        <v>-4933.5</v>
      </c>
      <c r="K17" s="319" t="s">
        <v>322</v>
      </c>
      <c r="L17" s="4"/>
      <c r="M17" s="4"/>
      <c r="N17" s="12"/>
      <c r="O17" s="4"/>
      <c r="P17" s="4"/>
      <c r="Q17" s="4"/>
      <c r="R17" s="4"/>
      <c r="S17" s="4"/>
      <c r="T17" s="4"/>
      <c r="U17" s="4"/>
      <c r="V17" s="4"/>
      <c r="W17" s="4"/>
      <c r="X17" s="4"/>
      <c r="Y17" s="4"/>
      <c r="Z17" s="4"/>
      <c r="AA17" s="4"/>
      <c r="AB17" s="4"/>
    </row>
    <row r="18" spans="1:28" ht="12.75">
      <c r="A18" s="4"/>
      <c r="B18" s="12"/>
      <c r="C18" s="4"/>
      <c r="D18" s="94" t="s">
        <v>100</v>
      </c>
      <c r="E18" s="94"/>
      <c r="F18" s="165">
        <f>SUM(Task2_Budgets_and_ProFormas!E163)</f>
        <v>28412.475999999995</v>
      </c>
      <c r="G18" s="94"/>
      <c r="H18" s="165">
        <v>31250</v>
      </c>
      <c r="I18" s="95"/>
      <c r="J18" s="409">
        <f t="shared" si="0"/>
        <v>2837.524000000005</v>
      </c>
      <c r="K18" s="319" t="s">
        <v>405</v>
      </c>
      <c r="L18" s="4"/>
      <c r="M18" s="4"/>
      <c r="N18" s="12"/>
      <c r="O18" s="4"/>
      <c r="P18" s="4"/>
      <c r="Q18" s="4"/>
      <c r="R18" s="4"/>
      <c r="S18" s="4"/>
      <c r="T18" s="4"/>
      <c r="U18" s="4"/>
      <c r="V18" s="4"/>
      <c r="W18" s="4"/>
      <c r="X18" s="4"/>
      <c r="Y18" s="4"/>
      <c r="Z18" s="4"/>
      <c r="AA18" s="4"/>
      <c r="AB18" s="4"/>
    </row>
    <row r="19" spans="1:28" ht="12.75">
      <c r="A19" s="4"/>
      <c r="B19" s="12"/>
      <c r="C19" s="4"/>
      <c r="D19" s="94" t="s">
        <v>361</v>
      </c>
      <c r="E19" s="94"/>
      <c r="F19" s="167">
        <f>SUM(Task2_Budgets_and_ProFormas!E159)</f>
        <v>105300</v>
      </c>
      <c r="G19" s="94"/>
      <c r="H19" s="167">
        <v>107569</v>
      </c>
      <c r="I19" s="95"/>
      <c r="J19" s="409">
        <f t="shared" si="0"/>
        <v>2269</v>
      </c>
      <c r="K19" s="319" t="s">
        <v>405</v>
      </c>
      <c r="L19" s="4"/>
      <c r="M19" s="4"/>
      <c r="N19" s="12"/>
      <c r="O19" s="4"/>
      <c r="P19" s="4"/>
      <c r="Q19" s="4"/>
      <c r="R19" s="4"/>
      <c r="S19" s="4"/>
      <c r="T19" s="4"/>
      <c r="U19" s="4"/>
      <c r="V19" s="4"/>
      <c r="W19" s="4"/>
      <c r="X19" s="4"/>
      <c r="Y19" s="4"/>
      <c r="Z19" s="4"/>
      <c r="AA19" s="4"/>
      <c r="AB19" s="4"/>
    </row>
    <row r="20" spans="1:28" ht="12.75">
      <c r="A20" s="4"/>
      <c r="B20" s="12"/>
      <c r="C20" s="4"/>
      <c r="D20" s="93" t="s">
        <v>389</v>
      </c>
      <c r="E20" s="93"/>
      <c r="F20" s="165">
        <f>SUM(F14:F19)</f>
        <v>3967961.976</v>
      </c>
      <c r="G20" s="93"/>
      <c r="H20" s="165">
        <f>SUM(H14:H19)</f>
        <v>3852909</v>
      </c>
      <c r="I20" s="165"/>
      <c r="J20" s="409">
        <f t="shared" si="0"/>
        <v>-115052.97599999979</v>
      </c>
      <c r="K20" s="319" t="s">
        <v>322</v>
      </c>
      <c r="L20" s="4"/>
      <c r="M20" s="4"/>
      <c r="N20" s="12"/>
      <c r="O20" s="4"/>
      <c r="P20" s="4"/>
      <c r="Q20" s="4"/>
      <c r="R20" s="4"/>
      <c r="S20" s="4"/>
      <c r="T20" s="4"/>
      <c r="U20" s="4"/>
      <c r="V20" s="4"/>
      <c r="W20" s="4"/>
      <c r="X20" s="4"/>
      <c r="Y20" s="4"/>
      <c r="Z20" s="4"/>
      <c r="AA20" s="4"/>
      <c r="AB20" s="4"/>
    </row>
    <row r="21" spans="1:28" ht="12.75">
      <c r="A21" s="4"/>
      <c r="B21" s="12"/>
      <c r="C21" s="4"/>
      <c r="D21" s="93"/>
      <c r="E21" s="93"/>
      <c r="F21" s="165"/>
      <c r="G21" s="93"/>
      <c r="H21" s="165"/>
      <c r="I21" s="165"/>
      <c r="J21" s="165"/>
      <c r="K21" s="387"/>
      <c r="L21" s="4"/>
      <c r="M21" s="4"/>
      <c r="N21" s="12"/>
      <c r="O21" s="4"/>
      <c r="P21" s="4"/>
      <c r="Q21" s="4"/>
      <c r="R21" s="4"/>
      <c r="S21" s="4"/>
      <c r="T21" s="4"/>
      <c r="U21" s="4"/>
      <c r="V21" s="4"/>
      <c r="W21" s="4"/>
      <c r="X21" s="4"/>
      <c r="Y21" s="4"/>
      <c r="Z21" s="4"/>
      <c r="AA21" s="4"/>
      <c r="AB21" s="4"/>
    </row>
    <row r="22" spans="1:28" ht="12.75">
      <c r="A22" s="4"/>
      <c r="B22" s="12"/>
      <c r="C22" s="4"/>
      <c r="D22" s="93" t="s">
        <v>211</v>
      </c>
      <c r="E22" s="93"/>
      <c r="F22" s="260">
        <f>F11-F20</f>
        <v>1279488.0240000002</v>
      </c>
      <c r="G22" s="93"/>
      <c r="H22" s="260">
        <f>H11-H20</f>
        <v>1230091</v>
      </c>
      <c r="I22" s="165"/>
      <c r="J22" s="409">
        <f>H22-F22</f>
        <v>-49397.02400000021</v>
      </c>
      <c r="K22" s="319" t="s">
        <v>405</v>
      </c>
      <c r="L22" s="4"/>
      <c r="M22" s="4"/>
      <c r="N22" s="12"/>
      <c r="O22" s="4"/>
      <c r="P22" s="4"/>
      <c r="Q22" s="4"/>
      <c r="R22" s="4"/>
      <c r="S22" s="4"/>
      <c r="T22" s="4"/>
      <c r="U22" s="4"/>
      <c r="V22" s="4"/>
      <c r="W22" s="4"/>
      <c r="X22" s="4"/>
      <c r="Y22" s="4"/>
      <c r="Z22" s="4"/>
      <c r="AA22" s="4"/>
      <c r="AB22" s="4"/>
    </row>
    <row r="23" spans="1:28" ht="12.75">
      <c r="A23" s="4"/>
      <c r="B23" s="12"/>
      <c r="C23" s="4"/>
      <c r="D23" s="93"/>
      <c r="E23" s="93"/>
      <c r="F23" s="143"/>
      <c r="G23" s="93"/>
      <c r="H23" s="143"/>
      <c r="I23" s="143"/>
      <c r="J23" s="143"/>
      <c r="K23" s="387"/>
      <c r="L23" s="4"/>
      <c r="M23" s="4"/>
      <c r="N23" s="12"/>
      <c r="O23" s="4"/>
      <c r="P23" s="4"/>
      <c r="Q23" s="4"/>
      <c r="R23" s="4"/>
      <c r="S23" s="4"/>
      <c r="T23" s="4"/>
      <c r="U23" s="4"/>
      <c r="V23" s="4"/>
      <c r="W23" s="4"/>
      <c r="X23" s="4"/>
      <c r="Y23" s="4"/>
      <c r="Z23" s="4"/>
      <c r="AA23" s="4"/>
      <c r="AB23" s="4"/>
    </row>
    <row r="24" spans="1:28" ht="12.75">
      <c r="A24" s="4"/>
      <c r="B24" s="12"/>
      <c r="C24" s="4"/>
      <c r="D24" s="93" t="s">
        <v>295</v>
      </c>
      <c r="E24" s="93"/>
      <c r="F24" s="94"/>
      <c r="G24" s="93"/>
      <c r="H24" s="94"/>
      <c r="I24" s="95"/>
      <c r="J24" s="94"/>
      <c r="K24" s="387"/>
      <c r="L24" s="4"/>
      <c r="M24" s="4"/>
      <c r="N24" s="12"/>
      <c r="O24" s="4"/>
      <c r="P24" s="4"/>
      <c r="Q24" s="4"/>
      <c r="R24" s="4"/>
      <c r="S24" s="4"/>
      <c r="T24" s="4"/>
      <c r="U24" s="4"/>
      <c r="V24" s="4"/>
      <c r="W24" s="4"/>
      <c r="X24" s="4"/>
      <c r="Y24" s="4"/>
      <c r="Z24" s="4"/>
      <c r="AA24" s="4"/>
      <c r="AB24" s="4"/>
    </row>
    <row r="25" spans="1:28" ht="12.75">
      <c r="A25" s="4"/>
      <c r="B25" s="12"/>
      <c r="C25" s="4"/>
      <c r="D25" s="94" t="s">
        <v>212</v>
      </c>
      <c r="E25" s="94"/>
      <c r="F25" s="150">
        <v>150000</v>
      </c>
      <c r="G25" s="94"/>
      <c r="H25" s="150">
        <v>150000</v>
      </c>
      <c r="I25" s="95"/>
      <c r="J25" s="409">
        <f>H25-F25</f>
        <v>0</v>
      </c>
      <c r="K25" s="488" t="s">
        <v>334</v>
      </c>
      <c r="L25" s="4"/>
      <c r="M25" s="4"/>
      <c r="N25" s="12"/>
      <c r="O25" s="4"/>
      <c r="P25" s="4"/>
      <c r="Q25" s="4"/>
      <c r="R25" s="4"/>
      <c r="S25" s="4"/>
      <c r="T25" s="4"/>
      <c r="U25" s="4"/>
      <c r="V25" s="4"/>
      <c r="W25" s="4"/>
      <c r="X25" s="4"/>
      <c r="Y25" s="4"/>
      <c r="Z25" s="4"/>
      <c r="AA25" s="4"/>
      <c r="AB25" s="4"/>
    </row>
    <row r="26" spans="1:28" ht="12.75">
      <c r="A26" s="4"/>
      <c r="B26" s="12"/>
      <c r="C26" s="4"/>
      <c r="D26" s="93" t="s">
        <v>214</v>
      </c>
      <c r="E26" s="93"/>
      <c r="F26" s="161">
        <f>F25</f>
        <v>150000</v>
      </c>
      <c r="G26" s="93"/>
      <c r="H26" s="161">
        <f>H25</f>
        <v>150000</v>
      </c>
      <c r="I26" s="165"/>
      <c r="J26" s="409">
        <f>H26-F26</f>
        <v>0</v>
      </c>
      <c r="K26" s="488" t="s">
        <v>334</v>
      </c>
      <c r="L26" s="4"/>
      <c r="M26" s="4"/>
      <c r="N26" s="12"/>
      <c r="O26" s="4"/>
      <c r="P26" s="4"/>
      <c r="Q26" s="4"/>
      <c r="R26" s="4"/>
      <c r="S26" s="4"/>
      <c r="T26" s="4"/>
      <c r="U26" s="4"/>
      <c r="V26" s="4"/>
      <c r="W26" s="4"/>
      <c r="X26" s="4"/>
      <c r="Y26" s="4"/>
      <c r="Z26" s="4"/>
      <c r="AA26" s="4"/>
      <c r="AB26" s="4"/>
    </row>
    <row r="27" spans="1:28" ht="12.75">
      <c r="A27" s="4"/>
      <c r="B27" s="12"/>
      <c r="C27" s="4"/>
      <c r="D27" s="94"/>
      <c r="E27" s="94"/>
      <c r="F27" s="111"/>
      <c r="G27" s="94"/>
      <c r="H27" s="111"/>
      <c r="I27" s="143"/>
      <c r="J27" s="111"/>
      <c r="K27" s="387"/>
      <c r="L27" s="4"/>
      <c r="M27" s="4"/>
      <c r="N27" s="12"/>
      <c r="O27" s="4"/>
      <c r="P27" s="4"/>
      <c r="Q27" s="4"/>
      <c r="R27" s="4"/>
      <c r="S27" s="4"/>
      <c r="T27" s="4"/>
      <c r="U27" s="4"/>
      <c r="V27" s="4"/>
      <c r="W27" s="4"/>
      <c r="X27" s="4"/>
      <c r="Y27" s="4"/>
      <c r="Z27" s="4"/>
      <c r="AA27" s="4"/>
      <c r="AB27" s="4"/>
    </row>
    <row r="28" spans="1:28" ht="12.75">
      <c r="A28" s="4"/>
      <c r="B28" s="12"/>
      <c r="C28" s="4"/>
      <c r="D28" s="93" t="s">
        <v>296</v>
      </c>
      <c r="E28" s="93"/>
      <c r="F28" s="161"/>
      <c r="G28" s="93"/>
      <c r="H28" s="161"/>
      <c r="I28" s="165"/>
      <c r="J28" s="161"/>
      <c r="K28" s="387"/>
      <c r="L28" s="4"/>
      <c r="M28" s="4"/>
      <c r="N28" s="12"/>
      <c r="O28" s="4"/>
      <c r="P28" s="4"/>
      <c r="Q28" s="4"/>
      <c r="R28" s="4"/>
      <c r="S28" s="4"/>
      <c r="T28" s="4"/>
      <c r="U28" s="4"/>
      <c r="V28" s="4"/>
      <c r="W28" s="4"/>
      <c r="X28" s="4"/>
      <c r="Y28" s="4"/>
      <c r="Z28" s="4"/>
      <c r="AA28" s="4"/>
      <c r="AB28" s="4"/>
    </row>
    <row r="29" spans="1:28" ht="12.75">
      <c r="A29" s="4"/>
      <c r="B29" s="12"/>
      <c r="C29" s="4"/>
      <c r="D29" s="94" t="s">
        <v>68</v>
      </c>
      <c r="E29" s="94"/>
      <c r="F29" s="161">
        <v>6000</v>
      </c>
      <c r="G29" s="94"/>
      <c r="H29" s="161">
        <f>SUM(IncomeStatements!D17)</f>
        <v>6000</v>
      </c>
      <c r="I29" s="165"/>
      <c r="J29" s="409">
        <f>H29-F29</f>
        <v>0</v>
      </c>
      <c r="K29" s="488" t="s">
        <v>334</v>
      </c>
      <c r="L29" s="4"/>
      <c r="M29" s="4"/>
      <c r="N29" s="12"/>
      <c r="O29" s="4"/>
      <c r="P29" s="4"/>
      <c r="Q29" s="4"/>
      <c r="R29" s="4"/>
      <c r="S29" s="4"/>
      <c r="T29" s="4"/>
      <c r="U29" s="4"/>
      <c r="V29" s="4"/>
      <c r="W29" s="4"/>
      <c r="X29" s="4"/>
      <c r="Y29" s="4"/>
      <c r="Z29" s="4"/>
      <c r="AA29" s="4"/>
      <c r="AB29" s="4"/>
    </row>
    <row r="30" spans="1:28" ht="12.75">
      <c r="A30" s="4"/>
      <c r="B30" s="12"/>
      <c r="C30" s="4"/>
      <c r="D30" s="94" t="s">
        <v>398</v>
      </c>
      <c r="E30" s="94"/>
      <c r="F30" s="167">
        <v>50830</v>
      </c>
      <c r="G30" s="94"/>
      <c r="H30" s="167">
        <f>SUM(IncomeStatements!D19)</f>
        <v>50830</v>
      </c>
      <c r="I30" s="165"/>
      <c r="J30" s="409">
        <f>H30-F30</f>
        <v>0</v>
      </c>
      <c r="K30" s="488" t="s">
        <v>334</v>
      </c>
      <c r="L30" s="4"/>
      <c r="M30" s="4"/>
      <c r="N30" s="12"/>
      <c r="O30" s="4"/>
      <c r="P30" s="4"/>
      <c r="Q30" s="4"/>
      <c r="R30" s="4"/>
      <c r="S30" s="4"/>
      <c r="T30" s="4"/>
      <c r="U30" s="4"/>
      <c r="V30" s="4"/>
      <c r="W30" s="4"/>
      <c r="X30" s="4"/>
      <c r="Y30" s="4"/>
      <c r="Z30" s="4"/>
      <c r="AA30" s="4"/>
      <c r="AB30" s="4"/>
    </row>
    <row r="31" spans="1:28" ht="12.75">
      <c r="A31" s="4"/>
      <c r="B31" s="12"/>
      <c r="C31" s="4"/>
      <c r="D31" s="94" t="s">
        <v>77</v>
      </c>
      <c r="E31" s="94"/>
      <c r="F31" s="161">
        <f>SUM(F29:F30)</f>
        <v>56830</v>
      </c>
      <c r="G31" s="94"/>
      <c r="H31" s="161">
        <f>SUM(H29:H30)</f>
        <v>56830</v>
      </c>
      <c r="I31" s="165"/>
      <c r="J31" s="409">
        <f>H31-F31</f>
        <v>0</v>
      </c>
      <c r="K31" s="488" t="s">
        <v>334</v>
      </c>
      <c r="L31" s="4"/>
      <c r="M31" s="4"/>
      <c r="N31" s="12"/>
      <c r="O31" s="4"/>
      <c r="P31" s="4"/>
      <c r="Q31" s="4"/>
      <c r="R31" s="4"/>
      <c r="S31" s="4"/>
      <c r="T31" s="4"/>
      <c r="U31" s="4"/>
      <c r="V31" s="4"/>
      <c r="W31" s="4"/>
      <c r="X31" s="4"/>
      <c r="Y31" s="4"/>
      <c r="Z31" s="4"/>
      <c r="AA31" s="4"/>
      <c r="AB31" s="4"/>
    </row>
    <row r="32" spans="1:28" ht="12.75">
      <c r="A32" s="4"/>
      <c r="B32" s="12"/>
      <c r="C32" s="4"/>
      <c r="D32" s="94"/>
      <c r="E32" s="94"/>
      <c r="F32" s="161"/>
      <c r="G32" s="94"/>
      <c r="H32" s="161"/>
      <c r="I32" s="165"/>
      <c r="J32" s="8"/>
      <c r="K32" s="384"/>
      <c r="L32" s="4"/>
      <c r="M32" s="4"/>
      <c r="N32" s="12"/>
      <c r="O32" s="4"/>
      <c r="P32" s="4"/>
      <c r="Q32" s="4"/>
      <c r="R32" s="4"/>
      <c r="S32" s="4"/>
      <c r="T32" s="4"/>
      <c r="U32" s="4"/>
      <c r="V32" s="4"/>
      <c r="W32" s="4"/>
      <c r="X32" s="4"/>
      <c r="Y32" s="4"/>
      <c r="Z32" s="4"/>
      <c r="AA32" s="4"/>
      <c r="AB32" s="4"/>
    </row>
    <row r="33" spans="1:28" ht="12.75">
      <c r="A33" s="4"/>
      <c r="B33" s="12"/>
      <c r="C33" s="4"/>
      <c r="D33" s="94"/>
      <c r="E33" s="94"/>
      <c r="F33" s="161"/>
      <c r="G33" s="94"/>
      <c r="H33" s="161"/>
      <c r="I33" s="165"/>
      <c r="J33" s="161"/>
      <c r="K33" s="387"/>
      <c r="L33" s="4"/>
      <c r="M33" s="4"/>
      <c r="N33" s="12"/>
      <c r="O33" s="4"/>
      <c r="P33" s="4"/>
      <c r="Q33" s="4"/>
      <c r="R33" s="4"/>
      <c r="S33" s="4"/>
      <c r="T33" s="4"/>
      <c r="U33" s="4"/>
      <c r="V33" s="4"/>
      <c r="W33" s="4"/>
      <c r="X33" s="4"/>
      <c r="Y33" s="4"/>
      <c r="Z33" s="4"/>
      <c r="AA33" s="4"/>
      <c r="AB33" s="4"/>
    </row>
    <row r="34" spans="1:28" ht="12.75">
      <c r="A34" s="4"/>
      <c r="B34" s="12"/>
      <c r="C34" s="4"/>
      <c r="D34" s="93" t="s">
        <v>297</v>
      </c>
      <c r="E34" s="93"/>
      <c r="F34" s="161"/>
      <c r="G34" s="93"/>
      <c r="H34" s="161"/>
      <c r="I34" s="165"/>
      <c r="J34" s="161"/>
      <c r="K34" s="387"/>
      <c r="L34" s="4"/>
      <c r="M34" s="4"/>
      <c r="N34" s="12"/>
      <c r="O34" s="4"/>
      <c r="P34" s="4"/>
      <c r="Q34" s="4"/>
      <c r="R34" s="4"/>
      <c r="S34" s="4"/>
      <c r="T34" s="4"/>
      <c r="U34" s="4"/>
      <c r="V34" s="4"/>
      <c r="W34" s="4"/>
      <c r="X34" s="4"/>
      <c r="Y34" s="4"/>
      <c r="Z34" s="4"/>
      <c r="AA34" s="4"/>
      <c r="AB34" s="4"/>
    </row>
    <row r="35" spans="1:28" ht="12.75">
      <c r="A35" s="4"/>
      <c r="B35" s="12"/>
      <c r="C35" s="4"/>
      <c r="D35" s="94" t="s">
        <v>78</v>
      </c>
      <c r="E35" s="94"/>
      <c r="F35" s="161">
        <v>170000</v>
      </c>
      <c r="G35" s="94"/>
      <c r="H35" s="161">
        <f>SUM(IncomeStatements!D24)</f>
        <v>170000</v>
      </c>
      <c r="I35" s="165"/>
      <c r="J35" s="409">
        <f aca="true" t="shared" si="1" ref="J35:J44">H35-F35</f>
        <v>0</v>
      </c>
      <c r="K35" s="488" t="s">
        <v>334</v>
      </c>
      <c r="L35" s="4"/>
      <c r="M35" s="4"/>
      <c r="N35" s="12"/>
      <c r="O35" s="4"/>
      <c r="P35" s="4"/>
      <c r="Q35" s="4"/>
      <c r="R35" s="4"/>
      <c r="S35" s="4"/>
      <c r="T35" s="4"/>
      <c r="U35" s="4"/>
      <c r="V35" s="4"/>
      <c r="W35" s="4"/>
      <c r="X35" s="4"/>
      <c r="Y35" s="4"/>
      <c r="Z35" s="4"/>
      <c r="AA35" s="4"/>
      <c r="AB35" s="4"/>
    </row>
    <row r="36" spans="1:28" ht="12.75">
      <c r="A36" s="4"/>
      <c r="B36" s="12"/>
      <c r="C36" s="4"/>
      <c r="D36" s="94" t="s">
        <v>79</v>
      </c>
      <c r="E36" s="94"/>
      <c r="F36" s="161">
        <f>SUM(IncomeStatements!$D$25)</f>
        <v>220000</v>
      </c>
      <c r="G36" s="94"/>
      <c r="H36" s="161">
        <f>SUM(IncomeStatements!D25)</f>
        <v>220000</v>
      </c>
      <c r="I36" s="165"/>
      <c r="J36" s="409">
        <f t="shared" si="1"/>
        <v>0</v>
      </c>
      <c r="K36" s="488" t="s">
        <v>334</v>
      </c>
      <c r="L36" s="4"/>
      <c r="M36" s="4"/>
      <c r="N36" s="12"/>
      <c r="O36" s="4"/>
      <c r="P36" s="4"/>
      <c r="Q36" s="4"/>
      <c r="R36" s="4"/>
      <c r="S36" s="4"/>
      <c r="T36" s="4"/>
      <c r="U36" s="4"/>
      <c r="V36" s="4"/>
      <c r="W36" s="4"/>
      <c r="X36" s="4"/>
      <c r="Y36" s="4"/>
      <c r="Z36" s="4"/>
      <c r="AA36" s="4"/>
      <c r="AB36" s="4"/>
    </row>
    <row r="37" spans="1:28" ht="12.75">
      <c r="A37" s="4"/>
      <c r="B37" s="12"/>
      <c r="C37" s="4"/>
      <c r="D37" s="94" t="s">
        <v>80</v>
      </c>
      <c r="E37" s="94"/>
      <c r="F37" s="161">
        <f>SUM(IncomeStatements!$D$26)</f>
        <v>29835</v>
      </c>
      <c r="G37" s="94"/>
      <c r="H37" s="161">
        <f>SUM(IncomeStatements!D26)</f>
        <v>29835</v>
      </c>
      <c r="I37" s="165"/>
      <c r="J37" s="409">
        <f t="shared" si="1"/>
        <v>0</v>
      </c>
      <c r="K37" s="488" t="s">
        <v>334</v>
      </c>
      <c r="L37" s="4"/>
      <c r="M37" s="4"/>
      <c r="N37" s="12"/>
      <c r="O37" s="4"/>
      <c r="P37" s="4"/>
      <c r="Q37" s="4"/>
      <c r="R37" s="4"/>
      <c r="S37" s="4"/>
      <c r="T37" s="4"/>
      <c r="U37" s="4"/>
      <c r="V37" s="4"/>
      <c r="W37" s="4"/>
      <c r="X37" s="4"/>
      <c r="Y37" s="4"/>
      <c r="Z37" s="4"/>
      <c r="AA37" s="4"/>
      <c r="AB37" s="4"/>
    </row>
    <row r="38" spans="1:28" ht="12.75">
      <c r="A38" s="4"/>
      <c r="B38" s="12"/>
      <c r="C38" s="4"/>
      <c r="D38" s="94" t="s">
        <v>390</v>
      </c>
      <c r="E38" s="94"/>
      <c r="F38" s="161">
        <f>SUM(IncomeStatements!$D$27)</f>
        <v>150000</v>
      </c>
      <c r="G38" s="94"/>
      <c r="H38" s="161">
        <f>SUM(IncomeStatements!D27)</f>
        <v>150000</v>
      </c>
      <c r="I38" s="165"/>
      <c r="J38" s="409">
        <f t="shared" si="1"/>
        <v>0</v>
      </c>
      <c r="K38" s="488" t="s">
        <v>334</v>
      </c>
      <c r="L38" s="4"/>
      <c r="M38" s="4"/>
      <c r="N38" s="12"/>
      <c r="O38" s="4"/>
      <c r="P38" s="4"/>
      <c r="Q38" s="4"/>
      <c r="R38" s="4"/>
      <c r="S38" s="4"/>
      <c r="T38" s="4"/>
      <c r="U38" s="4"/>
      <c r="V38" s="4"/>
      <c r="W38" s="4"/>
      <c r="X38" s="4"/>
      <c r="Y38" s="4"/>
      <c r="Z38" s="4"/>
      <c r="AA38" s="4"/>
      <c r="AB38" s="4"/>
    </row>
    <row r="39" spans="1:28" ht="12.75">
      <c r="A39" s="4"/>
      <c r="B39" s="12"/>
      <c r="C39" s="4"/>
      <c r="D39" s="94" t="s">
        <v>74</v>
      </c>
      <c r="E39" s="94"/>
      <c r="F39" s="161">
        <f>SUM(IncomeStatements!$D$28)</f>
        <v>33000</v>
      </c>
      <c r="G39" s="94"/>
      <c r="H39" s="161">
        <f>SUM(IncomeStatements!D28)</f>
        <v>33000</v>
      </c>
      <c r="I39" s="165"/>
      <c r="J39" s="409">
        <f t="shared" si="1"/>
        <v>0</v>
      </c>
      <c r="K39" s="488" t="s">
        <v>334</v>
      </c>
      <c r="L39" s="4"/>
      <c r="M39" s="4"/>
      <c r="N39" s="12"/>
      <c r="O39" s="4"/>
      <c r="P39" s="4"/>
      <c r="Q39" s="4"/>
      <c r="R39" s="4"/>
      <c r="S39" s="4"/>
      <c r="T39" s="4"/>
      <c r="U39" s="4"/>
      <c r="V39" s="4"/>
      <c r="W39" s="4"/>
      <c r="X39" s="4"/>
      <c r="Y39" s="4"/>
      <c r="Z39" s="4"/>
      <c r="AA39" s="4"/>
      <c r="AB39" s="4"/>
    </row>
    <row r="40" spans="1:28" ht="12.75">
      <c r="A40" s="4"/>
      <c r="B40" s="12"/>
      <c r="C40" s="4"/>
      <c r="D40" s="94" t="s">
        <v>81</v>
      </c>
      <c r="E40" s="94"/>
      <c r="F40" s="161">
        <v>85861</v>
      </c>
      <c r="G40" s="94"/>
      <c r="H40" s="161">
        <f>SUM(IncomeStatements!D29)</f>
        <v>82284</v>
      </c>
      <c r="I40" s="165"/>
      <c r="J40" s="409">
        <f t="shared" si="1"/>
        <v>-3577</v>
      </c>
      <c r="K40" s="487" t="s">
        <v>322</v>
      </c>
      <c r="L40" s="4"/>
      <c r="M40" s="4"/>
      <c r="N40" s="12"/>
      <c r="O40" s="4"/>
      <c r="P40" s="4"/>
      <c r="Q40" s="4"/>
      <c r="R40" s="4"/>
      <c r="S40" s="4"/>
      <c r="T40" s="4"/>
      <c r="U40" s="4"/>
      <c r="V40" s="4"/>
      <c r="W40" s="4"/>
      <c r="X40" s="4"/>
      <c r="Y40" s="4"/>
      <c r="Z40" s="4"/>
      <c r="AA40" s="4"/>
      <c r="AB40" s="4"/>
    </row>
    <row r="41" spans="1:28" ht="12.75">
      <c r="A41" s="4"/>
      <c r="B41" s="12"/>
      <c r="C41" s="4"/>
      <c r="D41" s="94" t="s">
        <v>391</v>
      </c>
      <c r="E41" s="94"/>
      <c r="F41" s="161">
        <f>SUM(IncomeStatements!$D$30)</f>
        <v>80000</v>
      </c>
      <c r="G41" s="94"/>
      <c r="H41" s="161">
        <f>SUM(IncomeStatements!D30)</f>
        <v>80000</v>
      </c>
      <c r="I41" s="165"/>
      <c r="J41" s="409">
        <f t="shared" si="1"/>
        <v>0</v>
      </c>
      <c r="K41" s="488" t="s">
        <v>334</v>
      </c>
      <c r="L41" s="4"/>
      <c r="M41" s="4"/>
      <c r="N41" s="12"/>
      <c r="O41" s="4"/>
      <c r="P41" s="4"/>
      <c r="Q41" s="4"/>
      <c r="R41" s="4"/>
      <c r="S41" s="4"/>
      <c r="T41" s="4"/>
      <c r="U41" s="4"/>
      <c r="V41" s="4"/>
      <c r="W41" s="4"/>
      <c r="X41" s="4"/>
      <c r="Y41" s="4"/>
      <c r="Z41" s="4"/>
      <c r="AA41" s="4"/>
      <c r="AB41" s="4"/>
    </row>
    <row r="42" spans="1:28" ht="12.75">
      <c r="A42" s="4"/>
      <c r="B42" s="12"/>
      <c r="C42" s="4"/>
      <c r="D42" s="94" t="s">
        <v>75</v>
      </c>
      <c r="E42" s="94"/>
      <c r="F42" s="165">
        <f>SUM(IncomeStatements!$D$31)</f>
        <v>170000</v>
      </c>
      <c r="G42" s="94"/>
      <c r="H42" s="165">
        <f>SUM(IncomeStatements!D31)</f>
        <v>170000</v>
      </c>
      <c r="I42" s="165"/>
      <c r="J42" s="409">
        <f t="shared" si="1"/>
        <v>0</v>
      </c>
      <c r="K42" s="488" t="s">
        <v>334</v>
      </c>
      <c r="L42" s="4"/>
      <c r="M42" s="4"/>
      <c r="N42" s="12"/>
      <c r="O42" s="4"/>
      <c r="P42" s="4"/>
      <c r="Q42" s="4"/>
      <c r="R42" s="4"/>
      <c r="S42" s="4"/>
      <c r="T42" s="4"/>
      <c r="U42" s="4"/>
      <c r="V42" s="4"/>
      <c r="W42" s="4"/>
      <c r="X42" s="4"/>
      <c r="Y42" s="4"/>
      <c r="Z42" s="4"/>
      <c r="AA42" s="4"/>
      <c r="AB42" s="4"/>
    </row>
    <row r="43" spans="1:28" ht="12.75">
      <c r="A43" s="4"/>
      <c r="B43" s="12"/>
      <c r="C43" s="4" t="s">
        <v>2</v>
      </c>
      <c r="D43" s="94" t="s">
        <v>494</v>
      </c>
      <c r="E43" s="94"/>
      <c r="F43" s="167">
        <v>54000</v>
      </c>
      <c r="G43" s="94"/>
      <c r="H43" s="167">
        <v>54000</v>
      </c>
      <c r="I43" s="165"/>
      <c r="J43" s="409"/>
      <c r="K43" s="488" t="s">
        <v>334</v>
      </c>
      <c r="L43" s="4"/>
      <c r="M43" s="4"/>
      <c r="N43" s="12"/>
      <c r="O43" s="4"/>
      <c r="P43" s="4"/>
      <c r="Q43" s="4"/>
      <c r="R43" s="4"/>
      <c r="S43" s="4"/>
      <c r="T43" s="4"/>
      <c r="U43" s="4"/>
      <c r="V43" s="4"/>
      <c r="W43" s="4"/>
      <c r="X43" s="4"/>
      <c r="Y43" s="4"/>
      <c r="Z43" s="4"/>
      <c r="AA43" s="4"/>
      <c r="AB43" s="4"/>
    </row>
    <row r="44" spans="1:28" ht="12.75">
      <c r="A44" s="4"/>
      <c r="B44" s="12"/>
      <c r="C44" s="4"/>
      <c r="D44" s="94" t="s">
        <v>76</v>
      </c>
      <c r="E44" s="94"/>
      <c r="F44" s="167">
        <f>SUM(F35:F43)</f>
        <v>992696</v>
      </c>
      <c r="G44" s="94"/>
      <c r="H44" s="167">
        <f>SUM(H35:H43)</f>
        <v>989119</v>
      </c>
      <c r="I44" s="165"/>
      <c r="J44" s="409">
        <f t="shared" si="1"/>
        <v>-3577</v>
      </c>
      <c r="K44" s="319" t="s">
        <v>322</v>
      </c>
      <c r="L44" s="4"/>
      <c r="M44" s="4"/>
      <c r="N44" s="12"/>
      <c r="O44" s="4"/>
      <c r="P44" s="4"/>
      <c r="Q44" s="4"/>
      <c r="R44" s="4"/>
      <c r="S44" s="4"/>
      <c r="T44" s="4"/>
      <c r="U44" s="4"/>
      <c r="V44" s="4"/>
      <c r="W44" s="4"/>
      <c r="X44" s="4"/>
      <c r="Y44" s="4"/>
      <c r="Z44" s="4"/>
      <c r="AA44" s="4"/>
      <c r="AB44" s="4"/>
    </row>
    <row r="45" spans="1:28" ht="12.75">
      <c r="A45" s="4"/>
      <c r="B45" s="12"/>
      <c r="C45" s="4"/>
      <c r="D45" s="94"/>
      <c r="E45" s="94"/>
      <c r="F45" s="161"/>
      <c r="G45" s="94"/>
      <c r="H45" s="161"/>
      <c r="I45" s="165"/>
      <c r="J45" s="161"/>
      <c r="K45" s="384"/>
      <c r="L45" s="4"/>
      <c r="M45" s="4"/>
      <c r="N45" s="12"/>
      <c r="O45" s="4"/>
      <c r="P45" s="4"/>
      <c r="Q45" s="4"/>
      <c r="R45" s="4"/>
      <c r="S45" s="4"/>
      <c r="T45" s="4"/>
      <c r="U45" s="4"/>
      <c r="V45" s="4"/>
      <c r="W45" s="4"/>
      <c r="X45" s="4"/>
      <c r="Y45" s="4"/>
      <c r="Z45" s="4"/>
      <c r="AA45" s="4"/>
      <c r="AB45" s="4"/>
    </row>
    <row r="46" spans="1:28" ht="12.75">
      <c r="A46" s="4"/>
      <c r="B46" s="12"/>
      <c r="C46" s="4"/>
      <c r="D46" s="93" t="s">
        <v>13</v>
      </c>
      <c r="E46" s="93"/>
      <c r="F46" s="167">
        <f>F31+F44+F26</f>
        <v>1199526</v>
      </c>
      <c r="G46" s="93"/>
      <c r="H46" s="167">
        <f>H31+H44+H26</f>
        <v>1195949</v>
      </c>
      <c r="I46" s="165"/>
      <c r="J46" s="409">
        <f>H46-F46</f>
        <v>-3577</v>
      </c>
      <c r="K46" s="319" t="s">
        <v>322</v>
      </c>
      <c r="L46" s="4"/>
      <c r="M46" s="4"/>
      <c r="N46" s="12"/>
      <c r="O46" s="4"/>
      <c r="P46" s="4"/>
      <c r="Q46" s="4"/>
      <c r="R46" s="4"/>
      <c r="S46" s="4"/>
      <c r="T46" s="4"/>
      <c r="U46" s="4"/>
      <c r="V46" s="4"/>
      <c r="W46" s="4"/>
      <c r="X46" s="4"/>
      <c r="Y46" s="4"/>
      <c r="Z46" s="4"/>
      <c r="AA46" s="4"/>
      <c r="AB46" s="4"/>
    </row>
    <row r="47" spans="1:28" ht="12.75">
      <c r="A47" s="4"/>
      <c r="B47" s="12"/>
      <c r="C47" s="4"/>
      <c r="D47" s="93"/>
      <c r="E47" s="93"/>
      <c r="F47" s="165"/>
      <c r="G47" s="93"/>
      <c r="H47" s="165"/>
      <c r="I47" s="165"/>
      <c r="J47" s="165"/>
      <c r="K47" s="387"/>
      <c r="L47" s="4"/>
      <c r="M47" s="4"/>
      <c r="N47" s="12"/>
      <c r="O47" s="4"/>
      <c r="P47" s="4"/>
      <c r="Q47" s="4"/>
      <c r="R47" s="4"/>
      <c r="S47" s="4"/>
      <c r="T47" s="4"/>
      <c r="U47" s="4"/>
      <c r="V47" s="4"/>
      <c r="W47" s="4"/>
      <c r="X47" s="4"/>
      <c r="Y47" s="4"/>
      <c r="Z47" s="4"/>
      <c r="AA47" s="4"/>
      <c r="AB47" s="4"/>
    </row>
    <row r="48" spans="1:28" ht="12.75">
      <c r="A48" s="4"/>
      <c r="B48" s="12"/>
      <c r="C48" s="4"/>
      <c r="D48" s="93" t="s">
        <v>14</v>
      </c>
      <c r="E48" s="93"/>
      <c r="F48" s="161">
        <f>F22-F46</f>
        <v>79962.02400000021</v>
      </c>
      <c r="G48" s="93"/>
      <c r="H48" s="161">
        <f>H22-H46</f>
        <v>34142</v>
      </c>
      <c r="I48" s="165"/>
      <c r="J48" s="409">
        <f>H48-F48</f>
        <v>-45820.02400000021</v>
      </c>
      <c r="K48" s="319" t="s">
        <v>405</v>
      </c>
      <c r="L48" s="4"/>
      <c r="M48" s="4"/>
      <c r="N48" s="12"/>
      <c r="O48" s="4"/>
      <c r="P48" s="4"/>
      <c r="Q48" s="4"/>
      <c r="R48" s="4"/>
      <c r="S48" s="4"/>
      <c r="T48" s="4"/>
      <c r="U48" s="4"/>
      <c r="V48" s="4"/>
      <c r="W48" s="4"/>
      <c r="X48" s="4"/>
      <c r="Y48" s="4"/>
      <c r="Z48" s="4"/>
      <c r="AA48" s="4"/>
      <c r="AB48" s="4"/>
    </row>
    <row r="49" spans="1:28" ht="12.75">
      <c r="A49" s="4"/>
      <c r="B49" s="12"/>
      <c r="C49" s="4"/>
      <c r="D49" s="4"/>
      <c r="E49" s="4"/>
      <c r="F49" s="4"/>
      <c r="G49" s="4"/>
      <c r="H49" s="4"/>
      <c r="I49" s="4"/>
      <c r="J49" s="4"/>
      <c r="K49" s="4"/>
      <c r="L49" s="4"/>
      <c r="M49" s="4"/>
      <c r="N49" s="12"/>
      <c r="O49" s="4"/>
      <c r="P49" s="4"/>
      <c r="Q49" s="4"/>
      <c r="R49" s="4"/>
      <c r="S49" s="4"/>
      <c r="T49" s="4"/>
      <c r="U49" s="4"/>
      <c r="V49" s="4"/>
      <c r="W49" s="4"/>
      <c r="X49" s="4"/>
      <c r="Y49" s="4"/>
      <c r="Z49" s="4"/>
      <c r="AA49" s="4"/>
      <c r="AB49" s="4"/>
    </row>
    <row r="50" spans="1:28" ht="12.75">
      <c r="A50" s="4"/>
      <c r="B50" s="12"/>
      <c r="C50" s="4"/>
      <c r="D50" s="4"/>
      <c r="E50" s="4"/>
      <c r="F50" s="4"/>
      <c r="G50" s="4"/>
      <c r="H50" s="4"/>
      <c r="I50" s="4"/>
      <c r="J50" s="4"/>
      <c r="K50" s="4"/>
      <c r="L50" s="4"/>
      <c r="M50" s="4"/>
      <c r="N50" s="12"/>
      <c r="O50" s="4"/>
      <c r="P50" s="4"/>
      <c r="Q50" s="4"/>
      <c r="R50" s="4"/>
      <c r="S50" s="4"/>
      <c r="T50" s="4"/>
      <c r="U50" s="4"/>
      <c r="V50" s="4"/>
      <c r="W50" s="4"/>
      <c r="X50" s="4"/>
      <c r="Y50" s="4"/>
      <c r="Z50" s="4"/>
      <c r="AA50" s="4"/>
      <c r="AB50" s="4"/>
    </row>
    <row r="51" spans="1:28" ht="12.75">
      <c r="A51" s="4"/>
      <c r="B51" s="21"/>
      <c r="C51" s="21"/>
      <c r="D51" s="21"/>
      <c r="E51" s="21"/>
      <c r="F51" s="21"/>
      <c r="G51" s="21"/>
      <c r="H51" s="21"/>
      <c r="I51" s="21"/>
      <c r="J51" s="21"/>
      <c r="K51" s="21"/>
      <c r="L51" s="21"/>
      <c r="M51" s="21"/>
      <c r="N51" s="21"/>
      <c r="O51" s="4"/>
      <c r="P51" s="4"/>
      <c r="Q51" s="4"/>
      <c r="R51" s="4"/>
      <c r="S51" s="4"/>
      <c r="T51" s="4"/>
      <c r="U51" s="4"/>
      <c r="V51" s="4"/>
      <c r="W51" s="4"/>
      <c r="X51" s="4"/>
      <c r="Y51" s="4"/>
      <c r="Z51" s="4"/>
      <c r="AA51" s="4"/>
      <c r="AB51" s="4"/>
    </row>
    <row r="52" spans="1:28"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2.7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2.7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2.7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sheetData>
  <sheetProtection password="CE3F" sheet="1" selectLockedCells="1" selectUnlockedCells="1"/>
  <mergeCells count="4">
    <mergeCell ref="D4:H4"/>
    <mergeCell ref="D5:H5"/>
    <mergeCell ref="D6:H6"/>
    <mergeCell ref="H7:J7"/>
  </mergeCells>
  <printOptions/>
  <pageMargins left="0.7" right="0.7"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Z132"/>
  <sheetViews>
    <sheetView zoomScalePageLayoutView="0" workbookViewId="0" topLeftCell="A1">
      <selection activeCell="A103" sqref="A103:IV133"/>
    </sheetView>
  </sheetViews>
  <sheetFormatPr defaultColWidth="9.140625" defaultRowHeight="12.75"/>
  <cols>
    <col min="1" max="1" width="2.7109375" style="0" customWidth="1"/>
    <col min="2" max="2" width="3.140625" style="0" customWidth="1"/>
    <col min="3" max="3" width="2.421875" style="0" customWidth="1"/>
    <col min="4" max="4" width="31.8515625" style="0" customWidth="1"/>
    <col min="5" max="5" width="11.57421875" style="0" customWidth="1"/>
    <col min="6" max="6" width="2.00390625" style="0" customWidth="1"/>
    <col min="7" max="7" width="9.7109375" style="0" customWidth="1"/>
    <col min="8" max="8" width="2.00390625" style="0" customWidth="1"/>
    <col min="10" max="10" width="1.8515625" style="0" customWidth="1"/>
    <col min="11" max="11" width="9.7109375" style="0" customWidth="1"/>
    <col min="12" max="12" width="1.57421875" style="0" customWidth="1"/>
    <col min="13" max="13" width="9.7109375" style="0" customWidth="1"/>
    <col min="14" max="14" width="3.00390625" style="0" customWidth="1"/>
    <col min="15" max="15" width="2.57421875" style="0" customWidth="1"/>
    <col min="16" max="16" width="2.421875" style="0" customWidth="1"/>
  </cols>
  <sheetData>
    <row r="1" spans="1:26" ht="12.75">
      <c r="A1" s="4"/>
      <c r="B1" s="4"/>
      <c r="C1" s="4"/>
      <c r="D1" s="4"/>
      <c r="E1" s="4"/>
      <c r="F1" s="4"/>
      <c r="G1" s="4"/>
      <c r="H1" s="4"/>
      <c r="I1" s="4"/>
      <c r="J1" s="4"/>
      <c r="K1" s="4"/>
      <c r="L1" s="4"/>
      <c r="M1" s="4"/>
      <c r="N1" s="4"/>
      <c r="O1" s="4"/>
      <c r="P1" s="4"/>
      <c r="Q1" s="4"/>
      <c r="R1" s="4"/>
      <c r="S1" s="4"/>
      <c r="T1" s="4"/>
      <c r="U1" s="4"/>
      <c r="V1" s="4"/>
      <c r="W1" s="4"/>
      <c r="X1" s="4"/>
      <c r="Y1" s="4"/>
      <c r="Z1" s="4"/>
    </row>
    <row r="2" spans="1:26" ht="12.75">
      <c r="A2" s="4"/>
      <c r="B2" s="342"/>
      <c r="C2" s="342"/>
      <c r="D2" s="516" t="s">
        <v>427</v>
      </c>
      <c r="E2" s="517"/>
      <c r="F2" s="517"/>
      <c r="G2" s="517"/>
      <c r="H2" s="517"/>
      <c r="I2" s="517"/>
      <c r="J2" s="517"/>
      <c r="K2" s="517"/>
      <c r="L2" s="517"/>
      <c r="M2" s="517"/>
      <c r="N2" s="342"/>
      <c r="O2" s="342"/>
      <c r="P2" s="4"/>
      <c r="Q2" s="4"/>
      <c r="R2" s="4"/>
      <c r="S2" s="4"/>
      <c r="T2" s="4"/>
      <c r="U2" s="4"/>
      <c r="V2" s="4"/>
      <c r="W2" s="4"/>
      <c r="X2" s="4"/>
      <c r="Y2" s="4"/>
      <c r="Z2" s="4"/>
    </row>
    <row r="3" spans="1:26" ht="12.75">
      <c r="A3" s="112"/>
      <c r="B3" s="343"/>
      <c r="C3" s="343"/>
      <c r="D3" s="344" t="s">
        <v>428</v>
      </c>
      <c r="E3" s="5"/>
      <c r="F3" s="115"/>
      <c r="G3" s="114"/>
      <c r="H3" s="113"/>
      <c r="I3" s="114"/>
      <c r="J3" s="113"/>
      <c r="K3" s="113"/>
      <c r="L3" s="113"/>
      <c r="M3" s="113"/>
      <c r="N3" s="343"/>
      <c r="O3" s="343"/>
      <c r="P3" s="112"/>
      <c r="Q3" s="4"/>
      <c r="R3" s="4"/>
      <c r="S3" s="4"/>
      <c r="T3" s="4"/>
      <c r="U3" s="4"/>
      <c r="V3" s="4"/>
      <c r="W3" s="4"/>
      <c r="X3" s="4"/>
      <c r="Y3" s="4"/>
      <c r="Z3" s="4"/>
    </row>
    <row r="4" spans="1:26" ht="12.75">
      <c r="A4" s="112"/>
      <c r="B4" s="112"/>
      <c r="C4" s="112"/>
      <c r="D4" s="113"/>
      <c r="E4" s="4"/>
      <c r="F4" s="115"/>
      <c r="G4" s="114"/>
      <c r="H4" s="113"/>
      <c r="I4" s="114"/>
      <c r="J4" s="112"/>
      <c r="K4" s="112"/>
      <c r="L4" s="112"/>
      <c r="M4" s="112"/>
      <c r="N4" s="112"/>
      <c r="O4" s="112"/>
      <c r="P4" s="112"/>
      <c r="Q4" s="4"/>
      <c r="R4" s="4"/>
      <c r="S4" s="4"/>
      <c r="T4" s="4"/>
      <c r="U4" s="4"/>
      <c r="V4" s="4"/>
      <c r="W4" s="4"/>
      <c r="X4" s="4"/>
      <c r="Y4" s="4"/>
      <c r="Z4" s="4"/>
    </row>
    <row r="5" spans="1:26" ht="12.75">
      <c r="A5" s="4"/>
      <c r="B5" s="21"/>
      <c r="C5" s="21"/>
      <c r="D5" s="12"/>
      <c r="E5" s="225"/>
      <c r="F5" s="226"/>
      <c r="G5" s="225"/>
      <c r="H5" s="226"/>
      <c r="I5" s="225"/>
      <c r="J5" s="119"/>
      <c r="K5" s="11"/>
      <c r="L5" s="11"/>
      <c r="M5" s="11"/>
      <c r="N5" s="12"/>
      <c r="O5" s="12"/>
      <c r="P5" s="4"/>
      <c r="Q5" s="4"/>
      <c r="R5" s="4"/>
      <c r="S5" s="4"/>
      <c r="T5" s="4"/>
      <c r="U5" s="4"/>
      <c r="V5" s="4"/>
      <c r="W5" s="4"/>
      <c r="X5" s="4"/>
      <c r="Y5" s="4"/>
      <c r="Z5" s="4"/>
    </row>
    <row r="6" spans="1:26" ht="12.75">
      <c r="A6" s="4"/>
      <c r="B6" s="21"/>
      <c r="C6" s="5"/>
      <c r="D6" s="4"/>
      <c r="E6" s="4"/>
      <c r="F6" s="4"/>
      <c r="G6" s="4"/>
      <c r="H6" s="4"/>
      <c r="I6" s="4"/>
      <c r="J6" s="277"/>
      <c r="K6" s="7"/>
      <c r="L6" s="7"/>
      <c r="M6" s="7"/>
      <c r="N6" s="4"/>
      <c r="O6" s="12"/>
      <c r="P6" s="4"/>
      <c r="Q6" s="4"/>
      <c r="R6" s="4"/>
      <c r="S6" s="4"/>
      <c r="T6" s="4"/>
      <c r="U6" s="4"/>
      <c r="V6" s="4"/>
      <c r="W6" s="4"/>
      <c r="X6" s="4"/>
      <c r="Y6" s="4"/>
      <c r="Z6" s="4"/>
    </row>
    <row r="7" spans="1:26" ht="12.75">
      <c r="A7" s="4"/>
      <c r="B7" s="12"/>
      <c r="C7" s="4"/>
      <c r="D7" s="491" t="s">
        <v>473</v>
      </c>
      <c r="E7" s="491"/>
      <c r="F7" s="491"/>
      <c r="G7" s="491"/>
      <c r="H7" s="491"/>
      <c r="I7" s="491"/>
      <c r="J7" s="491"/>
      <c r="K7" s="491"/>
      <c r="L7" s="491"/>
      <c r="M7" s="491"/>
      <c r="N7" s="4"/>
      <c r="O7" s="12"/>
      <c r="P7" s="4"/>
      <c r="Q7" s="4"/>
      <c r="R7" s="4"/>
      <c r="S7" s="4"/>
      <c r="T7" s="4"/>
      <c r="U7" s="4"/>
      <c r="V7" s="4"/>
      <c r="W7" s="4"/>
      <c r="X7" s="4"/>
      <c r="Y7" s="4"/>
      <c r="Z7" s="4"/>
    </row>
    <row r="8" spans="1:26" ht="12.75">
      <c r="A8" s="4"/>
      <c r="B8" s="12"/>
      <c r="C8" s="4"/>
      <c r="D8" s="491" t="s">
        <v>467</v>
      </c>
      <c r="E8" s="491"/>
      <c r="F8" s="491"/>
      <c r="G8" s="491"/>
      <c r="H8" s="491"/>
      <c r="I8" s="491"/>
      <c r="J8" s="491"/>
      <c r="K8" s="491"/>
      <c r="L8" s="491"/>
      <c r="M8" s="491"/>
      <c r="N8" s="4"/>
      <c r="O8" s="12"/>
      <c r="P8" s="4"/>
      <c r="Q8" s="4"/>
      <c r="R8" s="4"/>
      <c r="S8" s="4"/>
      <c r="T8" s="4"/>
      <c r="U8" s="4"/>
      <c r="V8" s="4"/>
      <c r="W8" s="4"/>
      <c r="X8" s="4"/>
      <c r="Y8" s="4"/>
      <c r="Z8" s="4"/>
    </row>
    <row r="9" spans="1:26" ht="12.75">
      <c r="A9" s="4"/>
      <c r="B9" s="12"/>
      <c r="C9" s="4"/>
      <c r="D9" s="493" t="s">
        <v>416</v>
      </c>
      <c r="E9" s="493"/>
      <c r="F9" s="493"/>
      <c r="G9" s="493"/>
      <c r="H9" s="493"/>
      <c r="I9" s="493"/>
      <c r="J9" s="493"/>
      <c r="K9" s="493"/>
      <c r="L9" s="493"/>
      <c r="M9" s="493"/>
      <c r="N9" s="4"/>
      <c r="O9" s="12"/>
      <c r="P9" s="4"/>
      <c r="Q9" s="4"/>
      <c r="R9" s="4"/>
      <c r="S9" s="4"/>
      <c r="T9" s="4"/>
      <c r="U9" s="4"/>
      <c r="V9" s="4"/>
      <c r="W9" s="4"/>
      <c r="X9" s="4"/>
      <c r="Y9" s="4"/>
      <c r="Z9" s="4"/>
    </row>
    <row r="10" spans="1:26" ht="12.75">
      <c r="A10" s="4"/>
      <c r="B10" s="12"/>
      <c r="C10" s="4"/>
      <c r="D10" s="267"/>
      <c r="E10" s="15"/>
      <c r="F10" s="271"/>
      <c r="G10" s="15"/>
      <c r="H10" s="271"/>
      <c r="I10" s="15"/>
      <c r="J10" s="4"/>
      <c r="K10" s="7"/>
      <c r="L10" s="4"/>
      <c r="M10" s="7"/>
      <c r="N10" s="4"/>
      <c r="O10" s="12"/>
      <c r="P10" s="4"/>
      <c r="Q10" s="4"/>
      <c r="R10" s="4"/>
      <c r="S10" s="4"/>
      <c r="T10" s="4"/>
      <c r="U10" s="4"/>
      <c r="V10" s="4"/>
      <c r="W10" s="4"/>
      <c r="X10" s="4"/>
      <c r="Y10" s="4"/>
      <c r="Z10" s="4"/>
    </row>
    <row r="11" spans="1:26" ht="12.75">
      <c r="A11" s="4"/>
      <c r="B11" s="12"/>
      <c r="C11" s="4"/>
      <c r="D11" s="94"/>
      <c r="E11" s="490"/>
      <c r="F11" s="490"/>
      <c r="G11" s="490"/>
      <c r="H11" s="264"/>
      <c r="I11" s="264"/>
      <c r="J11" s="4"/>
      <c r="K11" s="4"/>
      <c r="L11" s="4"/>
      <c r="M11" s="4"/>
      <c r="N11" s="4"/>
      <c r="O11" s="12"/>
      <c r="P11" s="4"/>
      <c r="Q11" s="4"/>
      <c r="R11" s="4"/>
      <c r="S11" s="4"/>
      <c r="T11" s="4"/>
      <c r="U11" s="4"/>
      <c r="V11" s="4"/>
      <c r="W11" s="4"/>
      <c r="X11" s="4"/>
      <c r="Y11" s="4"/>
      <c r="Z11" s="4"/>
    </row>
    <row r="12" spans="1:26" ht="12.75">
      <c r="A12" s="4"/>
      <c r="B12" s="12"/>
      <c r="C12" s="4"/>
      <c r="D12" s="94"/>
      <c r="E12" s="104" t="s">
        <v>89</v>
      </c>
      <c r="F12" s="159"/>
      <c r="G12" s="104" t="s">
        <v>133</v>
      </c>
      <c r="H12" s="159"/>
      <c r="I12" s="104" t="s">
        <v>88</v>
      </c>
      <c r="J12" s="4"/>
      <c r="K12" s="104" t="s">
        <v>132</v>
      </c>
      <c r="L12" s="159"/>
      <c r="M12" s="104" t="s">
        <v>87</v>
      </c>
      <c r="N12" s="159"/>
      <c r="O12" s="160"/>
      <c r="P12" s="8"/>
      <c r="Q12" s="4"/>
      <c r="R12" s="4"/>
      <c r="S12" s="4"/>
      <c r="T12" s="4"/>
      <c r="U12" s="4"/>
      <c r="V12" s="4"/>
      <c r="W12" s="4"/>
      <c r="X12" s="4"/>
      <c r="Y12" s="4"/>
      <c r="Z12" s="4"/>
    </row>
    <row r="13" spans="1:26" ht="12.75">
      <c r="A13" s="4"/>
      <c r="B13" s="12"/>
      <c r="C13" s="4"/>
      <c r="D13" s="94" t="s">
        <v>64</v>
      </c>
      <c r="E13" s="94"/>
      <c r="F13" s="94"/>
      <c r="G13" s="94"/>
      <c r="H13" s="94"/>
      <c r="I13" s="94"/>
      <c r="J13" s="45"/>
      <c r="K13" s="94"/>
      <c r="L13" s="94"/>
      <c r="M13" s="94"/>
      <c r="N13" s="94"/>
      <c r="O13" s="125"/>
      <c r="P13" s="8"/>
      <c r="Q13" s="4"/>
      <c r="R13" s="4"/>
      <c r="S13" s="4"/>
      <c r="T13" s="4"/>
      <c r="U13" s="4"/>
      <c r="V13" s="4"/>
      <c r="W13" s="4"/>
      <c r="X13" s="4"/>
      <c r="Y13" s="4"/>
      <c r="Z13" s="4"/>
    </row>
    <row r="14" spans="1:26" ht="12.75">
      <c r="A14" s="4"/>
      <c r="B14" s="12"/>
      <c r="C14" s="4"/>
      <c r="D14" s="94" t="s">
        <v>65</v>
      </c>
      <c r="E14" s="161">
        <f>G14*1.02</f>
        <v>840930.5948940001</v>
      </c>
      <c r="F14" s="161"/>
      <c r="G14" s="161">
        <f>I14*1.02</f>
        <v>824441.7597</v>
      </c>
      <c r="H14" s="161"/>
      <c r="I14" s="161">
        <f>K14*1.01</f>
        <v>808276.235</v>
      </c>
      <c r="J14" s="7"/>
      <c r="K14" s="161">
        <f>M14*1.01</f>
        <v>800273.5</v>
      </c>
      <c r="L14" s="161"/>
      <c r="M14" s="161">
        <f>530*1495</f>
        <v>792350</v>
      </c>
      <c r="N14" s="161"/>
      <c r="O14" s="289"/>
      <c r="P14" s="8"/>
      <c r="Q14" s="4"/>
      <c r="R14" s="4"/>
      <c r="S14" s="4"/>
      <c r="T14" s="4"/>
      <c r="U14" s="4"/>
      <c r="V14" s="4"/>
      <c r="W14" s="4"/>
      <c r="X14" s="4"/>
      <c r="Y14" s="4"/>
      <c r="Z14" s="4"/>
    </row>
    <row r="15" spans="1:26" ht="12.75">
      <c r="A15" s="4"/>
      <c r="B15" s="12"/>
      <c r="C15" s="4"/>
      <c r="D15" s="94" t="s">
        <v>55</v>
      </c>
      <c r="E15" s="167">
        <f>G15*1.02</f>
        <v>548167.6686600001</v>
      </c>
      <c r="F15" s="161"/>
      <c r="G15" s="167">
        <f>I15*1.02</f>
        <v>537419.283</v>
      </c>
      <c r="H15" s="161"/>
      <c r="I15" s="167">
        <f>K15*1.01</f>
        <v>526881.65</v>
      </c>
      <c r="J15" s="7"/>
      <c r="K15" s="167">
        <f>M15*1.01</f>
        <v>521665</v>
      </c>
      <c r="L15" s="161"/>
      <c r="M15" s="167">
        <f>(653+300+80)*500</f>
        <v>516500</v>
      </c>
      <c r="N15" s="161"/>
      <c r="O15" s="289"/>
      <c r="P15" s="8"/>
      <c r="Q15" s="4"/>
      <c r="R15" s="7"/>
      <c r="S15" s="4"/>
      <c r="T15" s="4"/>
      <c r="U15" s="4"/>
      <c r="V15" s="4"/>
      <c r="W15" s="4"/>
      <c r="X15" s="4"/>
      <c r="Y15" s="4"/>
      <c r="Z15" s="4"/>
    </row>
    <row r="16" spans="1:26" ht="12.75">
      <c r="A16" s="4"/>
      <c r="B16" s="12"/>
      <c r="C16" s="4"/>
      <c r="D16" s="94" t="s">
        <v>66</v>
      </c>
      <c r="E16" s="161">
        <f>E14-E15</f>
        <v>292762.926234</v>
      </c>
      <c r="F16" s="161"/>
      <c r="G16" s="161">
        <f>G14-G15</f>
        <v>287022.4767</v>
      </c>
      <c r="H16" s="161"/>
      <c r="I16" s="161">
        <f>I14-I15</f>
        <v>281394.58499999996</v>
      </c>
      <c r="J16" s="4"/>
      <c r="K16" s="161">
        <f>K14-K15</f>
        <v>278608.5</v>
      </c>
      <c r="L16" s="161"/>
      <c r="M16" s="161">
        <f>M14-M15</f>
        <v>275850</v>
      </c>
      <c r="N16" s="161"/>
      <c r="O16" s="289"/>
      <c r="P16" s="8"/>
      <c r="Q16" s="4"/>
      <c r="R16" s="4"/>
      <c r="S16" s="4"/>
      <c r="T16" s="4"/>
      <c r="U16" s="4"/>
      <c r="V16" s="4"/>
      <c r="W16" s="4"/>
      <c r="X16" s="4"/>
      <c r="Y16" s="4"/>
      <c r="Z16" s="4"/>
    </row>
    <row r="17" spans="1:26" ht="12.75">
      <c r="A17" s="4"/>
      <c r="B17" s="12"/>
      <c r="C17" s="4"/>
      <c r="D17" s="94"/>
      <c r="E17" s="106"/>
      <c r="F17" s="106"/>
      <c r="G17" s="106"/>
      <c r="H17" s="106"/>
      <c r="I17" s="106"/>
      <c r="J17" s="4"/>
      <c r="K17" s="106"/>
      <c r="L17" s="106"/>
      <c r="M17" s="106"/>
      <c r="N17" s="106"/>
      <c r="O17" s="290"/>
      <c r="P17" s="8"/>
      <c r="Q17" s="4"/>
      <c r="R17" s="4"/>
      <c r="S17" s="4"/>
      <c r="T17" s="4"/>
      <c r="U17" s="4"/>
      <c r="V17" s="4"/>
      <c r="W17" s="4"/>
      <c r="X17" s="4"/>
      <c r="Y17" s="4"/>
      <c r="Z17" s="4"/>
    </row>
    <row r="18" spans="1:26" ht="12.75">
      <c r="A18" s="4"/>
      <c r="B18" s="12"/>
      <c r="C18" s="4"/>
      <c r="D18" s="94" t="s">
        <v>67</v>
      </c>
      <c r="E18" s="106"/>
      <c r="F18" s="106"/>
      <c r="G18" s="106"/>
      <c r="H18" s="106"/>
      <c r="I18" s="161"/>
      <c r="J18" s="4"/>
      <c r="K18" s="106"/>
      <c r="L18" s="106"/>
      <c r="M18" s="106"/>
      <c r="N18" s="106"/>
      <c r="O18" s="289"/>
      <c r="P18" s="8"/>
      <c r="Q18" s="4"/>
      <c r="R18" s="4"/>
      <c r="S18" s="4"/>
      <c r="T18" s="4"/>
      <c r="U18" s="4"/>
      <c r="V18" s="4"/>
      <c r="W18" s="4"/>
      <c r="X18" s="4"/>
      <c r="Y18" s="4"/>
      <c r="Z18" s="4"/>
    </row>
    <row r="19" spans="1:26" ht="12.75">
      <c r="A19" s="4"/>
      <c r="B19" s="12"/>
      <c r="C19" s="4"/>
      <c r="D19" s="94" t="s">
        <v>406</v>
      </c>
      <c r="E19" s="94"/>
      <c r="F19" s="94"/>
      <c r="G19" s="94"/>
      <c r="H19" s="94"/>
      <c r="I19" s="106"/>
      <c r="J19" s="45"/>
      <c r="K19" s="94"/>
      <c r="L19" s="94"/>
      <c r="M19" s="94"/>
      <c r="N19" s="94"/>
      <c r="O19" s="290"/>
      <c r="P19" s="8"/>
      <c r="Q19" s="4"/>
      <c r="R19" s="4"/>
      <c r="S19" s="4"/>
      <c r="T19" s="4"/>
      <c r="U19" s="4"/>
      <c r="V19" s="4"/>
      <c r="W19" s="4"/>
      <c r="X19" s="4"/>
      <c r="Y19" s="4"/>
      <c r="Z19" s="4"/>
    </row>
    <row r="20" spans="1:26" ht="12.75">
      <c r="A20" s="4"/>
      <c r="B20" s="12"/>
      <c r="C20" s="4"/>
      <c r="D20" s="94" t="s">
        <v>69</v>
      </c>
      <c r="E20" s="161">
        <v>90000</v>
      </c>
      <c r="F20" s="161"/>
      <c r="G20" s="161">
        <v>90000</v>
      </c>
      <c r="H20" s="161"/>
      <c r="I20" s="161">
        <v>100000</v>
      </c>
      <c r="J20" s="7"/>
      <c r="K20" s="161">
        <v>110000</v>
      </c>
      <c r="L20" s="161"/>
      <c r="M20" s="161">
        <v>120000</v>
      </c>
      <c r="N20" s="161"/>
      <c r="O20" s="289"/>
      <c r="P20" s="8"/>
      <c r="Q20" s="4"/>
      <c r="R20" s="4"/>
      <c r="S20" s="4"/>
      <c r="T20" s="4"/>
      <c r="U20" s="4"/>
      <c r="V20" s="4"/>
      <c r="W20" s="4"/>
      <c r="X20" s="4"/>
      <c r="Y20" s="4"/>
      <c r="Z20" s="4"/>
    </row>
    <row r="21" spans="1:26" ht="12.75">
      <c r="A21" s="4"/>
      <c r="B21" s="12"/>
      <c r="C21" s="4"/>
      <c r="D21" s="94" t="s">
        <v>259</v>
      </c>
      <c r="E21" s="161">
        <f>E16*0.03</f>
        <v>8782.88778702</v>
      </c>
      <c r="F21" s="161"/>
      <c r="G21" s="161">
        <f>G16*0.03</f>
        <v>8610.674301</v>
      </c>
      <c r="H21" s="161"/>
      <c r="I21" s="161">
        <f>I16*0.03</f>
        <v>8441.837549999998</v>
      </c>
      <c r="J21" s="7"/>
      <c r="K21" s="161">
        <f>K16*0.03</f>
        <v>8358.255</v>
      </c>
      <c r="L21" s="161"/>
      <c r="M21" s="161">
        <f>M16*0.03</f>
        <v>8275.5</v>
      </c>
      <c r="N21" s="161"/>
      <c r="O21" s="289"/>
      <c r="P21" s="8"/>
      <c r="Q21" s="4"/>
      <c r="R21" s="4"/>
      <c r="S21" s="4"/>
      <c r="T21" s="4"/>
      <c r="U21" s="4"/>
      <c r="V21" s="4"/>
      <c r="W21" s="4"/>
      <c r="X21" s="4"/>
      <c r="Y21" s="4"/>
      <c r="Z21" s="4"/>
    </row>
    <row r="22" spans="1:26" ht="12.75">
      <c r="A22" s="4"/>
      <c r="B22" s="12"/>
      <c r="C22" s="4"/>
      <c r="D22" s="94" t="s">
        <v>70</v>
      </c>
      <c r="E22" s="111">
        <f>E16*0.01</f>
        <v>2927.62926234</v>
      </c>
      <c r="F22" s="111"/>
      <c r="G22" s="111">
        <f>G16*0.01</f>
        <v>2870.224767</v>
      </c>
      <c r="H22" s="111"/>
      <c r="I22" s="111">
        <f>I16*0.01</f>
        <v>2813.9458499999996</v>
      </c>
      <c r="J22" s="4"/>
      <c r="K22" s="111">
        <f>K16*0.01</f>
        <v>2786.085</v>
      </c>
      <c r="L22" s="111"/>
      <c r="M22" s="111">
        <f>M16*0.01</f>
        <v>2758.5</v>
      </c>
      <c r="N22" s="111"/>
      <c r="O22" s="291"/>
      <c r="P22" s="8"/>
      <c r="Q22" s="4"/>
      <c r="R22" s="4"/>
      <c r="S22" s="4"/>
      <c r="T22" s="4"/>
      <c r="U22" s="4"/>
      <c r="V22" s="4"/>
      <c r="W22" s="4"/>
      <c r="X22" s="4"/>
      <c r="Y22" s="4"/>
      <c r="Z22" s="4"/>
    </row>
    <row r="23" spans="1:26" ht="12.75">
      <c r="A23" s="4"/>
      <c r="B23" s="12"/>
      <c r="C23" s="4"/>
      <c r="D23" s="94" t="s">
        <v>323</v>
      </c>
      <c r="E23" s="143">
        <f>500*30</f>
        <v>15000</v>
      </c>
      <c r="F23" s="143"/>
      <c r="G23" s="143">
        <f>500*30</f>
        <v>15000</v>
      </c>
      <c r="H23" s="143"/>
      <c r="I23" s="143">
        <f>500*30</f>
        <v>15000</v>
      </c>
      <c r="J23" s="8"/>
      <c r="K23" s="143">
        <f>500*30</f>
        <v>15000</v>
      </c>
      <c r="L23" s="143"/>
      <c r="M23" s="143">
        <f>500*30</f>
        <v>15000</v>
      </c>
      <c r="N23" s="111"/>
      <c r="O23" s="291"/>
      <c r="P23" s="8"/>
      <c r="Q23" s="4"/>
      <c r="R23" s="4"/>
      <c r="S23" s="4"/>
      <c r="T23" s="4"/>
      <c r="U23" s="4"/>
      <c r="V23" s="4"/>
      <c r="W23" s="4"/>
      <c r="X23" s="4"/>
      <c r="Y23" s="4"/>
      <c r="Z23" s="4"/>
    </row>
    <row r="24" spans="1:26" ht="12.75">
      <c r="A24" s="4"/>
      <c r="B24" s="12"/>
      <c r="C24" s="4"/>
      <c r="D24" s="94" t="s">
        <v>408</v>
      </c>
      <c r="E24" s="182">
        <f>G24*1.05</f>
        <v>66852.84375</v>
      </c>
      <c r="F24" s="111"/>
      <c r="G24" s="182">
        <f>I24*1.05</f>
        <v>63669.375</v>
      </c>
      <c r="H24" s="111"/>
      <c r="I24" s="182">
        <f>K24*1.05</f>
        <v>60637.5</v>
      </c>
      <c r="J24" s="4"/>
      <c r="K24" s="182">
        <f>M24*1.05</f>
        <v>57750</v>
      </c>
      <c r="L24" s="111"/>
      <c r="M24" s="182">
        <v>55000</v>
      </c>
      <c r="N24" s="111"/>
      <c r="O24" s="291"/>
      <c r="P24" s="4"/>
      <c r="Q24" s="4"/>
      <c r="R24" s="4"/>
      <c r="S24" s="4"/>
      <c r="T24" s="4"/>
      <c r="U24" s="4"/>
      <c r="V24" s="4"/>
      <c r="W24" s="4"/>
      <c r="X24" s="4"/>
      <c r="Y24" s="4"/>
      <c r="Z24" s="4"/>
    </row>
    <row r="25" spans="1:26" ht="12.75">
      <c r="A25" s="4"/>
      <c r="B25" s="12"/>
      <c r="C25" s="4"/>
      <c r="D25" s="94" t="s">
        <v>407</v>
      </c>
      <c r="E25" s="161">
        <f>SUM(E20:E24)</f>
        <v>183563.36079935997</v>
      </c>
      <c r="F25" s="161"/>
      <c r="G25" s="161">
        <f>SUM(G20:G24)</f>
        <v>180150.274068</v>
      </c>
      <c r="H25" s="161"/>
      <c r="I25" s="161">
        <f>SUM(I20:I24)</f>
        <v>186893.28340000001</v>
      </c>
      <c r="J25" s="5"/>
      <c r="K25" s="161">
        <f>SUM(K20:K24)</f>
        <v>193894.34000000003</v>
      </c>
      <c r="L25" s="161"/>
      <c r="M25" s="161">
        <f>SUM(M20:M24)</f>
        <v>201034</v>
      </c>
      <c r="N25" s="161"/>
      <c r="O25" s="162"/>
      <c r="P25" s="4"/>
      <c r="Q25" s="4"/>
      <c r="R25" s="4"/>
      <c r="S25" s="4"/>
      <c r="T25" s="4"/>
      <c r="U25" s="4"/>
      <c r="V25" s="4"/>
      <c r="W25" s="4"/>
      <c r="X25" s="4"/>
      <c r="Y25" s="4"/>
      <c r="Z25" s="4"/>
    </row>
    <row r="26" spans="1:26" ht="12.75">
      <c r="A26" s="4"/>
      <c r="B26" s="12"/>
      <c r="C26" s="4"/>
      <c r="D26" s="94"/>
      <c r="E26" s="111"/>
      <c r="F26" s="111"/>
      <c r="G26" s="111"/>
      <c r="H26" s="111"/>
      <c r="I26" s="161"/>
      <c r="J26" s="272"/>
      <c r="K26" s="111"/>
      <c r="L26" s="111"/>
      <c r="M26" s="161"/>
      <c r="N26" s="111"/>
      <c r="O26" s="162"/>
      <c r="P26" s="4"/>
      <c r="Q26" s="4"/>
      <c r="R26" s="4"/>
      <c r="S26" s="4"/>
      <c r="T26" s="4"/>
      <c r="U26" s="4"/>
      <c r="V26" s="4"/>
      <c r="W26" s="4"/>
      <c r="X26" s="4"/>
      <c r="Y26" s="4"/>
      <c r="Z26" s="4"/>
    </row>
    <row r="27" spans="1:26" ht="12.75">
      <c r="A27" s="4"/>
      <c r="B27" s="12"/>
      <c r="C27" s="4"/>
      <c r="D27" s="94" t="s">
        <v>84</v>
      </c>
      <c r="E27" s="167">
        <v>20000</v>
      </c>
      <c r="F27" s="161"/>
      <c r="G27" s="167">
        <v>20000</v>
      </c>
      <c r="H27" s="161"/>
      <c r="I27" s="167">
        <v>20000</v>
      </c>
      <c r="J27" s="4"/>
      <c r="K27" s="167">
        <v>20000</v>
      </c>
      <c r="L27" s="161"/>
      <c r="M27" s="167">
        <v>20000</v>
      </c>
      <c r="N27" s="111"/>
      <c r="O27" s="162"/>
      <c r="P27" s="4"/>
      <c r="Q27" s="4"/>
      <c r="R27" s="4"/>
      <c r="S27" s="4"/>
      <c r="T27" s="4"/>
      <c r="U27" s="4"/>
      <c r="V27" s="4"/>
      <c r="W27" s="4"/>
      <c r="X27" s="4"/>
      <c r="Y27" s="4"/>
      <c r="Z27" s="4"/>
    </row>
    <row r="28" spans="1:26" ht="13.5" thickBot="1">
      <c r="A28" s="4"/>
      <c r="B28" s="12"/>
      <c r="C28" s="4"/>
      <c r="D28" s="94" t="s">
        <v>415</v>
      </c>
      <c r="E28" s="170">
        <f>E16-E25-E27</f>
        <v>89199.56543464004</v>
      </c>
      <c r="F28" s="161"/>
      <c r="G28" s="170">
        <f>G16-G25-G27</f>
        <v>86872.202632</v>
      </c>
      <c r="H28" s="161"/>
      <c r="I28" s="170">
        <f>I16-I25-I27</f>
        <v>74501.30159999995</v>
      </c>
      <c r="J28" s="4"/>
      <c r="K28" s="170">
        <f>K16-K25-K27</f>
        <v>64714.159999999974</v>
      </c>
      <c r="L28" s="161"/>
      <c r="M28" s="170">
        <f>M16-M25-M27</f>
        <v>54816</v>
      </c>
      <c r="N28" s="161"/>
      <c r="O28" s="162"/>
      <c r="P28" s="4"/>
      <c r="Q28" s="4"/>
      <c r="R28" s="4"/>
      <c r="S28" s="4"/>
      <c r="T28" s="4"/>
      <c r="U28" s="4"/>
      <c r="V28" s="4"/>
      <c r="W28" s="4"/>
      <c r="X28" s="4"/>
      <c r="Y28" s="4"/>
      <c r="Z28" s="4"/>
    </row>
    <row r="29" spans="1:26" ht="13.5" thickTop="1">
      <c r="A29" s="4"/>
      <c r="B29" s="12"/>
      <c r="C29" s="4"/>
      <c r="D29" s="93"/>
      <c r="E29" s="161"/>
      <c r="F29" s="161"/>
      <c r="G29" s="161"/>
      <c r="H29" s="161"/>
      <c r="I29" s="111"/>
      <c r="J29" s="4"/>
      <c r="K29" s="161"/>
      <c r="L29" s="161"/>
      <c r="M29" s="161"/>
      <c r="N29" s="161"/>
      <c r="O29" s="223"/>
      <c r="P29" s="4"/>
      <c r="Q29" s="4"/>
      <c r="R29" s="4"/>
      <c r="S29" s="4"/>
      <c r="T29" s="4"/>
      <c r="U29" s="4"/>
      <c r="V29" s="4"/>
      <c r="W29" s="4"/>
      <c r="X29" s="4"/>
      <c r="Y29" s="4"/>
      <c r="Z29" s="4"/>
    </row>
    <row r="30" spans="1:26" ht="13.5" thickBot="1">
      <c r="A30" s="4"/>
      <c r="B30" s="12"/>
      <c r="C30" s="4"/>
      <c r="D30" s="94" t="s">
        <v>116</v>
      </c>
      <c r="E30" s="285">
        <f aca="true" t="shared" si="0" ref="E30:K30">E28+E27</f>
        <v>109199.56543464004</v>
      </c>
      <c r="F30" s="165"/>
      <c r="G30" s="285">
        <f t="shared" si="0"/>
        <v>106872.202632</v>
      </c>
      <c r="H30" s="165"/>
      <c r="I30" s="285">
        <f t="shared" si="0"/>
        <v>94501.30159999995</v>
      </c>
      <c r="J30" s="165"/>
      <c r="K30" s="285">
        <f t="shared" si="0"/>
        <v>84714.15999999997</v>
      </c>
      <c r="L30" s="165"/>
      <c r="M30" s="285">
        <f>M28+M27</f>
        <v>74816</v>
      </c>
      <c r="N30" s="165"/>
      <c r="O30" s="289"/>
      <c r="P30" s="4"/>
      <c r="Q30" s="4"/>
      <c r="R30" s="4"/>
      <c r="S30" s="4"/>
      <c r="T30" s="4"/>
      <c r="U30" s="4"/>
      <c r="V30" s="4"/>
      <c r="W30" s="4"/>
      <c r="X30" s="4"/>
      <c r="Y30" s="4"/>
      <c r="Z30" s="4"/>
    </row>
    <row r="31" spans="1:26" ht="13.5" thickTop="1">
      <c r="A31" s="4"/>
      <c r="B31" s="12"/>
      <c r="C31" s="4"/>
      <c r="D31" s="94"/>
      <c r="E31" s="165"/>
      <c r="F31" s="165"/>
      <c r="G31" s="165"/>
      <c r="H31" s="165"/>
      <c r="I31" s="165"/>
      <c r="J31" s="8"/>
      <c r="K31" s="165"/>
      <c r="L31" s="165"/>
      <c r="M31" s="165"/>
      <c r="N31" s="165"/>
      <c r="O31" s="289"/>
      <c r="P31" s="4"/>
      <c r="Q31" s="4"/>
      <c r="R31" s="4"/>
      <c r="S31" s="4"/>
      <c r="T31" s="4"/>
      <c r="U31" s="4"/>
      <c r="V31" s="4"/>
      <c r="W31" s="4"/>
      <c r="X31" s="4"/>
      <c r="Y31" s="4"/>
      <c r="Z31" s="4"/>
    </row>
    <row r="32" spans="1:26" ht="12.75">
      <c r="A32" s="4"/>
      <c r="B32" s="12"/>
      <c r="C32" s="4"/>
      <c r="D32" s="4"/>
      <c r="E32" s="4"/>
      <c r="F32" s="4"/>
      <c r="G32" s="4"/>
      <c r="H32" s="4"/>
      <c r="I32" s="4"/>
      <c r="J32" s="4"/>
      <c r="K32" s="4"/>
      <c r="L32" s="4"/>
      <c r="M32" s="4"/>
      <c r="N32" s="4"/>
      <c r="O32" s="12"/>
      <c r="P32" s="4"/>
      <c r="Q32" s="4"/>
      <c r="R32" s="4"/>
      <c r="S32" s="4"/>
      <c r="T32" s="4"/>
      <c r="U32" s="4"/>
      <c r="V32" s="4"/>
      <c r="W32" s="4"/>
      <c r="X32" s="4"/>
      <c r="Y32" s="4"/>
      <c r="Z32" s="4"/>
    </row>
    <row r="33" spans="1:26" ht="12.75">
      <c r="A33" s="4"/>
      <c r="B33" s="12"/>
      <c r="C33" s="4"/>
      <c r="D33" s="4"/>
      <c r="E33" s="4"/>
      <c r="F33" s="4"/>
      <c r="G33" s="4"/>
      <c r="H33" s="4"/>
      <c r="I33" s="4"/>
      <c r="J33" s="269"/>
      <c r="K33" s="7"/>
      <c r="L33" s="7"/>
      <c r="M33" s="7"/>
      <c r="N33" s="4"/>
      <c r="O33" s="12"/>
      <c r="P33" s="4"/>
      <c r="Q33" s="4"/>
      <c r="R33" s="4"/>
      <c r="S33" s="4"/>
      <c r="T33" s="4"/>
      <c r="U33" s="4"/>
      <c r="V33" s="4"/>
      <c r="W33" s="4"/>
      <c r="X33" s="4"/>
      <c r="Y33" s="4"/>
      <c r="Z33" s="4"/>
    </row>
    <row r="34" spans="1:26" ht="12.75">
      <c r="A34" s="4"/>
      <c r="B34" s="12"/>
      <c r="C34" s="4"/>
      <c r="D34" s="491" t="s">
        <v>473</v>
      </c>
      <c r="E34" s="500"/>
      <c r="F34" s="500"/>
      <c r="G34" s="500"/>
      <c r="H34" s="500"/>
      <c r="I34" s="500"/>
      <c r="J34" s="500"/>
      <c r="K34" s="500"/>
      <c r="L34" s="500"/>
      <c r="M34" s="500"/>
      <c r="N34" s="4"/>
      <c r="O34" s="12"/>
      <c r="P34" s="4"/>
      <c r="Q34" s="4"/>
      <c r="R34" s="4"/>
      <c r="S34" s="4"/>
      <c r="T34" s="4"/>
      <c r="U34" s="4"/>
      <c r="V34" s="4"/>
      <c r="W34" s="4"/>
      <c r="X34" s="4"/>
      <c r="Y34" s="4"/>
      <c r="Z34" s="4"/>
    </row>
    <row r="35" spans="1:26" ht="12.75">
      <c r="A35" s="4"/>
      <c r="B35" s="12"/>
      <c r="C35" s="4"/>
      <c r="D35" s="491" t="s">
        <v>466</v>
      </c>
      <c r="E35" s="500"/>
      <c r="F35" s="500"/>
      <c r="G35" s="500"/>
      <c r="H35" s="500"/>
      <c r="I35" s="500"/>
      <c r="J35" s="500"/>
      <c r="K35" s="500"/>
      <c r="L35" s="500"/>
      <c r="M35" s="500"/>
      <c r="N35" s="4"/>
      <c r="O35" s="12"/>
      <c r="P35" s="4"/>
      <c r="Q35" s="4"/>
      <c r="R35" s="4"/>
      <c r="S35" s="4"/>
      <c r="T35" s="4"/>
      <c r="U35" s="4"/>
      <c r="V35" s="4"/>
      <c r="W35" s="4"/>
      <c r="X35" s="4"/>
      <c r="Y35" s="4"/>
      <c r="Z35" s="4"/>
    </row>
    <row r="36" spans="1:26" ht="12.75">
      <c r="A36" s="4"/>
      <c r="B36" s="12"/>
      <c r="C36" s="4"/>
      <c r="D36" s="493" t="s">
        <v>62</v>
      </c>
      <c r="E36" s="500"/>
      <c r="F36" s="500"/>
      <c r="G36" s="500"/>
      <c r="H36" s="500"/>
      <c r="I36" s="500"/>
      <c r="J36" s="500"/>
      <c r="K36" s="500"/>
      <c r="L36" s="500"/>
      <c r="M36" s="500"/>
      <c r="N36" s="4"/>
      <c r="O36" s="12"/>
      <c r="P36" s="4"/>
      <c r="Q36" s="4"/>
      <c r="R36" s="4"/>
      <c r="S36" s="4"/>
      <c r="T36" s="4"/>
      <c r="U36" s="4"/>
      <c r="V36" s="4"/>
      <c r="W36" s="4"/>
      <c r="X36" s="4"/>
      <c r="Y36" s="4"/>
      <c r="Z36" s="4"/>
    </row>
    <row r="37" spans="1:26" ht="12.75">
      <c r="A37" s="4"/>
      <c r="B37" s="12"/>
      <c r="C37" s="4"/>
      <c r="D37" s="267"/>
      <c r="E37" s="266"/>
      <c r="F37" s="266"/>
      <c r="G37" s="266"/>
      <c r="H37" s="266"/>
      <c r="I37" s="266"/>
      <c r="J37" s="4"/>
      <c r="K37" s="4"/>
      <c r="L37" s="4"/>
      <c r="M37" s="4"/>
      <c r="N37" s="4"/>
      <c r="O37" s="12"/>
      <c r="P37" s="4"/>
      <c r="Q37" s="4"/>
      <c r="R37" s="4"/>
      <c r="S37" s="4"/>
      <c r="T37" s="4"/>
      <c r="U37" s="4"/>
      <c r="V37" s="4"/>
      <c r="W37" s="4"/>
      <c r="X37" s="4"/>
      <c r="Y37" s="4"/>
      <c r="Z37" s="4"/>
    </row>
    <row r="38" spans="1:26" ht="12.75">
      <c r="A38" s="4"/>
      <c r="B38" s="12"/>
      <c r="C38" s="4"/>
      <c r="D38" s="94"/>
      <c r="E38" s="489"/>
      <c r="F38" s="490"/>
      <c r="G38" s="489"/>
      <c r="H38" s="264"/>
      <c r="I38" s="264"/>
      <c r="J38" s="4"/>
      <c r="K38" s="4"/>
      <c r="L38" s="4"/>
      <c r="M38" s="4"/>
      <c r="N38" s="4"/>
      <c r="O38" s="42"/>
      <c r="P38" s="4"/>
      <c r="Q38" s="4"/>
      <c r="R38" s="4"/>
      <c r="S38" s="4"/>
      <c r="T38" s="4"/>
      <c r="U38" s="4"/>
      <c r="V38" s="4"/>
      <c r="W38" s="4"/>
      <c r="X38" s="4"/>
      <c r="Y38" s="4"/>
      <c r="Z38" s="4"/>
    </row>
    <row r="39" spans="1:26" ht="12.75">
      <c r="A39" s="4"/>
      <c r="B39" s="12"/>
      <c r="C39" s="4"/>
      <c r="D39" s="94"/>
      <c r="E39" s="104" t="s">
        <v>89</v>
      </c>
      <c r="F39" s="159"/>
      <c r="G39" s="104" t="s">
        <v>133</v>
      </c>
      <c r="H39" s="159"/>
      <c r="I39" s="104" t="s">
        <v>88</v>
      </c>
      <c r="J39" s="4"/>
      <c r="K39" s="104" t="s">
        <v>132</v>
      </c>
      <c r="L39" s="159"/>
      <c r="M39" s="104" t="s">
        <v>87</v>
      </c>
      <c r="N39" s="159"/>
      <c r="O39" s="160"/>
      <c r="P39" s="4"/>
      <c r="Q39" s="4"/>
      <c r="R39" s="4"/>
      <c r="S39" s="4"/>
      <c r="T39" s="4"/>
      <c r="U39" s="4"/>
      <c r="V39" s="4"/>
      <c r="W39" s="4"/>
      <c r="X39" s="4"/>
      <c r="Y39" s="4"/>
      <c r="Z39" s="4"/>
    </row>
    <row r="40" spans="1:26" ht="12.75">
      <c r="A40" s="4"/>
      <c r="B40" s="12"/>
      <c r="C40" s="4"/>
      <c r="D40" s="94" t="s">
        <v>64</v>
      </c>
      <c r="E40" s="94"/>
      <c r="F40" s="94"/>
      <c r="G40" s="94"/>
      <c r="H40" s="94"/>
      <c r="I40" s="94"/>
      <c r="J40" s="45"/>
      <c r="K40" s="94"/>
      <c r="L40" s="94"/>
      <c r="M40" s="94"/>
      <c r="N40" s="94"/>
      <c r="O40" s="125"/>
      <c r="P40" s="4"/>
      <c r="Q40" s="4"/>
      <c r="R40" s="4"/>
      <c r="S40" s="4"/>
      <c r="T40" s="4"/>
      <c r="U40" s="4"/>
      <c r="V40" s="4"/>
      <c r="W40" s="4"/>
      <c r="X40" s="4"/>
      <c r="Y40" s="4"/>
      <c r="Z40" s="4"/>
    </row>
    <row r="41" spans="1:26" ht="12.75">
      <c r="A41" s="4"/>
      <c r="B41" s="12"/>
      <c r="C41" s="4"/>
      <c r="D41" s="94" t="s">
        <v>65</v>
      </c>
      <c r="E41" s="161">
        <f>G41*1.05</f>
        <v>935785.6044468748</v>
      </c>
      <c r="F41" s="161"/>
      <c r="G41" s="161">
        <f>I41*1.05</f>
        <v>891224.3851874998</v>
      </c>
      <c r="H41" s="161"/>
      <c r="I41" s="161">
        <f>K41*1.035</f>
        <v>848785.1287499998</v>
      </c>
      <c r="J41" s="7"/>
      <c r="K41" s="161">
        <f>M41*1.035</f>
        <v>820082.2499999999</v>
      </c>
      <c r="L41" s="161"/>
      <c r="M41" s="161">
        <f>530*1495</f>
        <v>792350</v>
      </c>
      <c r="N41" s="161"/>
      <c r="O41" s="289"/>
      <c r="P41" s="4"/>
      <c r="Q41" s="4"/>
      <c r="R41" s="4"/>
      <c r="S41" s="4"/>
      <c r="T41" s="4"/>
      <c r="U41" s="4"/>
      <c r="V41" s="4"/>
      <c r="W41" s="4"/>
      <c r="X41" s="4"/>
      <c r="Y41" s="4"/>
      <c r="Z41" s="4"/>
    </row>
    <row r="42" spans="1:26" ht="12.75">
      <c r="A42" s="4"/>
      <c r="B42" s="12"/>
      <c r="C42" s="4"/>
      <c r="D42" s="94" t="s">
        <v>55</v>
      </c>
      <c r="E42" s="167">
        <f>G42*1.05</f>
        <v>604120.2221250001</v>
      </c>
      <c r="F42" s="161"/>
      <c r="G42" s="167">
        <f>I42*1.05</f>
        <v>575352.5925</v>
      </c>
      <c r="H42" s="161"/>
      <c r="I42" s="167">
        <f>K42*1.03</f>
        <v>547954.85</v>
      </c>
      <c r="J42" s="7"/>
      <c r="K42" s="167">
        <f>M42*1.03</f>
        <v>531995</v>
      </c>
      <c r="L42" s="161"/>
      <c r="M42" s="167">
        <f>(653+300+80)*500</f>
        <v>516500</v>
      </c>
      <c r="N42" s="161"/>
      <c r="O42" s="289"/>
      <c r="P42" s="4"/>
      <c r="Q42" s="4"/>
      <c r="R42" s="4"/>
      <c r="S42" s="4"/>
      <c r="T42" s="4"/>
      <c r="U42" s="4"/>
      <c r="V42" s="4"/>
      <c r="W42" s="4"/>
      <c r="X42" s="4"/>
      <c r="Y42" s="4"/>
      <c r="Z42" s="4"/>
    </row>
    <row r="43" spans="1:26" ht="12.75">
      <c r="A43" s="4"/>
      <c r="B43" s="12"/>
      <c r="C43" s="4"/>
      <c r="D43" s="94" t="s">
        <v>66</v>
      </c>
      <c r="E43" s="161">
        <f>E41-E42</f>
        <v>331665.3823218747</v>
      </c>
      <c r="F43" s="161"/>
      <c r="G43" s="161">
        <f>G41-G42</f>
        <v>315871.7926874998</v>
      </c>
      <c r="H43" s="161"/>
      <c r="I43" s="161">
        <f>I41-I42</f>
        <v>300830.2787499998</v>
      </c>
      <c r="J43" s="4"/>
      <c r="K43" s="161">
        <f>K41-K42</f>
        <v>288087.2499999999</v>
      </c>
      <c r="L43" s="161"/>
      <c r="M43" s="161">
        <f>M41-M42</f>
        <v>275850</v>
      </c>
      <c r="N43" s="161"/>
      <c r="O43" s="289"/>
      <c r="P43" s="4"/>
      <c r="Q43" s="4"/>
      <c r="R43" s="4"/>
      <c r="S43" s="4"/>
      <c r="T43" s="4"/>
      <c r="U43" s="4"/>
      <c r="V43" s="4"/>
      <c r="W43" s="4"/>
      <c r="X43" s="4"/>
      <c r="Y43" s="4"/>
      <c r="Z43" s="4"/>
    </row>
    <row r="44" spans="1:26" ht="12.75">
      <c r="A44" s="4"/>
      <c r="B44" s="12"/>
      <c r="C44" s="4"/>
      <c r="D44" s="94"/>
      <c r="E44" s="106"/>
      <c r="F44" s="106"/>
      <c r="G44" s="106"/>
      <c r="H44" s="106"/>
      <c r="I44" s="106"/>
      <c r="J44" s="4"/>
      <c r="K44" s="106"/>
      <c r="L44" s="106"/>
      <c r="M44" s="106"/>
      <c r="N44" s="106"/>
      <c r="O44" s="290"/>
      <c r="P44" s="4"/>
      <c r="Q44" s="4"/>
      <c r="R44" s="4"/>
      <c r="S44" s="4"/>
      <c r="T44" s="4"/>
      <c r="U44" s="4"/>
      <c r="V44" s="4"/>
      <c r="W44" s="4"/>
      <c r="X44" s="4"/>
      <c r="Y44" s="4"/>
      <c r="Z44" s="4"/>
    </row>
    <row r="45" spans="1:26" ht="12.75">
      <c r="A45" s="4"/>
      <c r="B45" s="12"/>
      <c r="C45" s="4"/>
      <c r="D45" s="94" t="s">
        <v>67</v>
      </c>
      <c r="E45" s="106"/>
      <c r="F45" s="106"/>
      <c r="G45" s="106"/>
      <c r="H45" s="106"/>
      <c r="I45" s="161"/>
      <c r="J45" s="4"/>
      <c r="K45" s="106"/>
      <c r="L45" s="106"/>
      <c r="M45" s="106"/>
      <c r="N45" s="106"/>
      <c r="O45" s="289"/>
      <c r="P45" s="4"/>
      <c r="Q45" s="4"/>
      <c r="R45" s="4"/>
      <c r="S45" s="4"/>
      <c r="T45" s="4"/>
      <c r="U45" s="4"/>
      <c r="V45" s="4"/>
      <c r="W45" s="4"/>
      <c r="X45" s="4"/>
      <c r="Y45" s="4"/>
      <c r="Z45" s="4"/>
    </row>
    <row r="46" spans="1:26" ht="12.75">
      <c r="A46" s="4"/>
      <c r="B46" s="12"/>
      <c r="C46" s="4"/>
      <c r="D46" s="94" t="s">
        <v>406</v>
      </c>
      <c r="E46" s="94"/>
      <c r="F46" s="94"/>
      <c r="G46" s="94"/>
      <c r="H46" s="94"/>
      <c r="I46" s="106"/>
      <c r="J46" s="45"/>
      <c r="K46" s="94"/>
      <c r="L46" s="94"/>
      <c r="M46" s="94"/>
      <c r="N46" s="94"/>
      <c r="O46" s="290"/>
      <c r="P46" s="4"/>
      <c r="Q46" s="4"/>
      <c r="R46" s="4"/>
      <c r="S46" s="4"/>
      <c r="T46" s="4"/>
      <c r="U46" s="4"/>
      <c r="V46" s="4"/>
      <c r="W46" s="4"/>
      <c r="X46" s="4"/>
      <c r="Y46" s="4"/>
      <c r="Z46" s="4"/>
    </row>
    <row r="47" spans="1:26" ht="12.75">
      <c r="A47" s="4"/>
      <c r="B47" s="12"/>
      <c r="C47" s="4"/>
      <c r="D47" s="94" t="s">
        <v>69</v>
      </c>
      <c r="E47" s="161">
        <v>90000</v>
      </c>
      <c r="F47" s="161"/>
      <c r="G47" s="161">
        <v>90000</v>
      </c>
      <c r="H47" s="161"/>
      <c r="I47" s="161">
        <v>100000</v>
      </c>
      <c r="J47" s="7"/>
      <c r="K47" s="161">
        <v>110000</v>
      </c>
      <c r="L47" s="161"/>
      <c r="M47" s="161">
        <v>120000</v>
      </c>
      <c r="N47" s="161"/>
      <c r="O47" s="289"/>
      <c r="P47" s="4"/>
      <c r="Q47" s="4"/>
      <c r="R47" s="4"/>
      <c r="S47" s="4"/>
      <c r="T47" s="4"/>
      <c r="U47" s="4"/>
      <c r="V47" s="4"/>
      <c r="W47" s="4"/>
      <c r="X47" s="4"/>
      <c r="Y47" s="4"/>
      <c r="Z47" s="4"/>
    </row>
    <row r="48" spans="1:26" ht="12.75">
      <c r="A48" s="4"/>
      <c r="B48" s="12"/>
      <c r="C48" s="4"/>
      <c r="D48" s="94" t="s">
        <v>259</v>
      </c>
      <c r="E48" s="161">
        <f>E43*0.03</f>
        <v>9949.961469656242</v>
      </c>
      <c r="F48" s="161"/>
      <c r="G48" s="161">
        <f>G43*0.03</f>
        <v>9476.153780624993</v>
      </c>
      <c r="H48" s="161"/>
      <c r="I48" s="161">
        <f>I43*0.03</f>
        <v>9024.908362499995</v>
      </c>
      <c r="J48" s="7"/>
      <c r="K48" s="161">
        <f>K43*0.03</f>
        <v>8642.617499999997</v>
      </c>
      <c r="L48" s="161"/>
      <c r="M48" s="161">
        <f>M43*0.03</f>
        <v>8275.5</v>
      </c>
      <c r="N48" s="161"/>
      <c r="O48" s="289"/>
      <c r="P48" s="4"/>
      <c r="Q48" s="4"/>
      <c r="R48" s="4"/>
      <c r="S48" s="4"/>
      <c r="T48" s="4"/>
      <c r="U48" s="4"/>
      <c r="V48" s="4"/>
      <c r="W48" s="4"/>
      <c r="X48" s="4"/>
      <c r="Y48" s="4"/>
      <c r="Z48" s="4"/>
    </row>
    <row r="49" spans="1:26" ht="12.75">
      <c r="A49" s="4"/>
      <c r="B49" s="12"/>
      <c r="C49" s="4"/>
      <c r="D49" s="94" t="s">
        <v>70</v>
      </c>
      <c r="E49" s="111">
        <f>E43*0.01</f>
        <v>3316.653823218747</v>
      </c>
      <c r="F49" s="111"/>
      <c r="G49" s="111">
        <f>G43*0.01</f>
        <v>3158.717926874998</v>
      </c>
      <c r="H49" s="111"/>
      <c r="I49" s="111">
        <f>I43*0.01</f>
        <v>3008.3027874999984</v>
      </c>
      <c r="J49" s="4"/>
      <c r="K49" s="111">
        <f>K43*0.01</f>
        <v>2880.872499999999</v>
      </c>
      <c r="L49" s="111"/>
      <c r="M49" s="111">
        <f>M43*0.01</f>
        <v>2758.5</v>
      </c>
      <c r="N49" s="111"/>
      <c r="O49" s="291"/>
      <c r="P49" s="4"/>
      <c r="Q49" s="4"/>
      <c r="R49" s="4"/>
      <c r="S49" s="4"/>
      <c r="T49" s="4"/>
      <c r="U49" s="4"/>
      <c r="V49" s="4"/>
      <c r="W49" s="4"/>
      <c r="X49" s="4"/>
      <c r="Y49" s="4"/>
      <c r="Z49" s="4"/>
    </row>
    <row r="50" spans="1:26" ht="12.75">
      <c r="A50" s="4"/>
      <c r="B50" s="12"/>
      <c r="C50" s="4"/>
      <c r="D50" s="94" t="s">
        <v>323</v>
      </c>
      <c r="E50" s="143">
        <f>500*30</f>
        <v>15000</v>
      </c>
      <c r="F50" s="143"/>
      <c r="G50" s="143">
        <f>500*30</f>
        <v>15000</v>
      </c>
      <c r="H50" s="143"/>
      <c r="I50" s="143">
        <f>500*30</f>
        <v>15000</v>
      </c>
      <c r="J50" s="8"/>
      <c r="K50" s="143">
        <f>500*30</f>
        <v>15000</v>
      </c>
      <c r="L50" s="143"/>
      <c r="M50" s="143">
        <f>500*30</f>
        <v>15000</v>
      </c>
      <c r="N50" s="111"/>
      <c r="O50" s="291"/>
      <c r="P50" s="4"/>
      <c r="Q50" s="4"/>
      <c r="R50" s="4"/>
      <c r="S50" s="4"/>
      <c r="T50" s="4"/>
      <c r="U50" s="4"/>
      <c r="V50" s="4"/>
      <c r="W50" s="4"/>
      <c r="X50" s="4"/>
      <c r="Y50" s="4"/>
      <c r="Z50" s="4"/>
    </row>
    <row r="51" spans="1:26" ht="12.75">
      <c r="A51" s="4"/>
      <c r="B51" s="12"/>
      <c r="C51" s="4"/>
      <c r="D51" s="94" t="s">
        <v>408</v>
      </c>
      <c r="E51" s="182">
        <f>G51*1.05</f>
        <v>66852.84375</v>
      </c>
      <c r="F51" s="111"/>
      <c r="G51" s="182">
        <f>I51*1.05</f>
        <v>63669.375</v>
      </c>
      <c r="H51" s="111"/>
      <c r="I51" s="182">
        <f>K51*1.05</f>
        <v>60637.5</v>
      </c>
      <c r="J51" s="4"/>
      <c r="K51" s="182">
        <f>M51*1.05</f>
        <v>57750</v>
      </c>
      <c r="L51" s="111"/>
      <c r="M51" s="182">
        <v>55000</v>
      </c>
      <c r="N51" s="111"/>
      <c r="O51" s="291"/>
      <c r="P51" s="4"/>
      <c r="Q51" s="4"/>
      <c r="R51" s="4"/>
      <c r="S51" s="4"/>
      <c r="T51" s="4"/>
      <c r="U51" s="4"/>
      <c r="V51" s="4"/>
      <c r="W51" s="4"/>
      <c r="X51" s="4"/>
      <c r="Y51" s="4"/>
      <c r="Z51" s="4"/>
    </row>
    <row r="52" spans="1:26" ht="12.75">
      <c r="A52" s="4"/>
      <c r="B52" s="12"/>
      <c r="C52" s="4"/>
      <c r="D52" s="94" t="s">
        <v>407</v>
      </c>
      <c r="E52" s="161">
        <f>SUM(E47:E51)</f>
        <v>185119.45904287498</v>
      </c>
      <c r="F52" s="161"/>
      <c r="G52" s="161">
        <f>SUM(G47:G51)</f>
        <v>181304.24670750002</v>
      </c>
      <c r="H52" s="161"/>
      <c r="I52" s="161">
        <f>SUM(I47:I51)</f>
        <v>187670.71115</v>
      </c>
      <c r="J52" s="5"/>
      <c r="K52" s="161">
        <f>SUM(K47:K51)</f>
        <v>194273.49</v>
      </c>
      <c r="L52" s="161"/>
      <c r="M52" s="161">
        <f>SUM(M47:M51)</f>
        <v>201034</v>
      </c>
      <c r="N52" s="161"/>
      <c r="O52" s="162"/>
      <c r="P52" s="4"/>
      <c r="Q52" s="4"/>
      <c r="R52" s="4"/>
      <c r="S52" s="4"/>
      <c r="T52" s="4"/>
      <c r="U52" s="4"/>
      <c r="V52" s="4"/>
      <c r="W52" s="4"/>
      <c r="X52" s="4"/>
      <c r="Y52" s="4"/>
      <c r="Z52" s="4"/>
    </row>
    <row r="53" spans="1:26" ht="12.75">
      <c r="A53" s="4"/>
      <c r="B53" s="12"/>
      <c r="C53" s="4"/>
      <c r="D53" s="94"/>
      <c r="E53" s="111"/>
      <c r="F53" s="111"/>
      <c r="G53" s="111"/>
      <c r="H53" s="111"/>
      <c r="I53" s="161"/>
      <c r="J53" s="272"/>
      <c r="K53" s="111"/>
      <c r="L53" s="111"/>
      <c r="M53" s="161"/>
      <c r="N53" s="111"/>
      <c r="O53" s="162"/>
      <c r="P53" s="4"/>
      <c r="Q53" s="4"/>
      <c r="R53" s="4"/>
      <c r="S53" s="4"/>
      <c r="T53" s="4"/>
      <c r="U53" s="4"/>
      <c r="V53" s="4"/>
      <c r="W53" s="4"/>
      <c r="X53" s="4"/>
      <c r="Y53" s="4"/>
      <c r="Z53" s="4"/>
    </row>
    <row r="54" spans="1:26" ht="12.75">
      <c r="A54" s="4"/>
      <c r="B54" s="12"/>
      <c r="C54" s="4"/>
      <c r="D54" s="94" t="s">
        <v>84</v>
      </c>
      <c r="E54" s="167">
        <v>35000</v>
      </c>
      <c r="F54" s="161"/>
      <c r="G54" s="167">
        <v>35000</v>
      </c>
      <c r="H54" s="161"/>
      <c r="I54" s="167">
        <v>35000</v>
      </c>
      <c r="J54" s="4"/>
      <c r="K54" s="167">
        <v>35000</v>
      </c>
      <c r="L54" s="161"/>
      <c r="M54" s="167">
        <v>35000</v>
      </c>
      <c r="N54" s="111"/>
      <c r="O54" s="162"/>
      <c r="P54" s="4"/>
      <c r="Q54" s="4"/>
      <c r="R54" s="4"/>
      <c r="S54" s="4"/>
      <c r="T54" s="4"/>
      <c r="U54" s="4"/>
      <c r="V54" s="4"/>
      <c r="W54" s="4"/>
      <c r="X54" s="4"/>
      <c r="Y54" s="4"/>
      <c r="Z54" s="4"/>
    </row>
    <row r="55" spans="1:26" ht="13.5" thickBot="1">
      <c r="A55" s="4"/>
      <c r="B55" s="12"/>
      <c r="C55" s="4"/>
      <c r="D55" s="94" t="s">
        <v>453</v>
      </c>
      <c r="E55" s="170">
        <f>E43-E52-E61</f>
        <v>146545.92327899975</v>
      </c>
      <c r="F55" s="161"/>
      <c r="G55" s="170">
        <f>G43-G52-G61</f>
        <v>134567.54597999976</v>
      </c>
      <c r="H55" s="161"/>
      <c r="I55" s="170">
        <f>I43-I52-I61</f>
        <v>113159.56759999983</v>
      </c>
      <c r="J55" s="4"/>
      <c r="K55" s="170">
        <f>K43-K52-K61</f>
        <v>93813.7599999999</v>
      </c>
      <c r="L55" s="161"/>
      <c r="M55" s="170">
        <f>M43-M52-M61</f>
        <v>74816</v>
      </c>
      <c r="N55" s="161"/>
      <c r="O55" s="162"/>
      <c r="P55" s="4"/>
      <c r="Q55" s="4"/>
      <c r="R55" s="4"/>
      <c r="S55" s="4"/>
      <c r="T55" s="4"/>
      <c r="U55" s="4"/>
      <c r="V55" s="4"/>
      <c r="W55" s="4"/>
      <c r="X55" s="4"/>
      <c r="Y55" s="4"/>
      <c r="Z55" s="4"/>
    </row>
    <row r="56" spans="1:26" ht="13.5" thickTop="1">
      <c r="A56" s="4"/>
      <c r="B56" s="12"/>
      <c r="C56" s="4"/>
      <c r="D56" s="93"/>
      <c r="E56" s="161"/>
      <c r="F56" s="161"/>
      <c r="G56" s="161"/>
      <c r="H56" s="161"/>
      <c r="I56" s="111"/>
      <c r="J56" s="4"/>
      <c r="K56" s="161"/>
      <c r="L56" s="161"/>
      <c r="M56" s="161"/>
      <c r="N56" s="161"/>
      <c r="O56" s="223"/>
      <c r="P56" s="4"/>
      <c r="Q56" s="4"/>
      <c r="R56" s="4"/>
      <c r="S56" s="4"/>
      <c r="T56" s="4"/>
      <c r="U56" s="4"/>
      <c r="V56" s="4"/>
      <c r="W56" s="4"/>
      <c r="X56" s="4"/>
      <c r="Y56" s="4"/>
      <c r="Z56" s="4"/>
    </row>
    <row r="57" spans="1:26" ht="13.5" thickBot="1">
      <c r="A57" s="4"/>
      <c r="B57" s="12"/>
      <c r="C57" s="4"/>
      <c r="D57" s="94" t="s">
        <v>116</v>
      </c>
      <c r="E57" s="285">
        <f>E55+E54</f>
        <v>181545.92327899975</v>
      </c>
      <c r="F57" s="165"/>
      <c r="G57" s="285">
        <f>G55+G54</f>
        <v>169567.54597999976</v>
      </c>
      <c r="H57" s="165"/>
      <c r="I57" s="285">
        <f>I55+I54</f>
        <v>148159.56759999983</v>
      </c>
      <c r="J57" s="165"/>
      <c r="K57" s="285">
        <f>K55+K54</f>
        <v>128813.7599999999</v>
      </c>
      <c r="L57" s="165"/>
      <c r="M57" s="285">
        <f>M55+M54</f>
        <v>109816</v>
      </c>
      <c r="N57" s="165"/>
      <c r="O57" s="289"/>
      <c r="P57" s="4"/>
      <c r="Q57" s="4"/>
      <c r="R57" s="4"/>
      <c r="S57" s="4"/>
      <c r="T57" s="4"/>
      <c r="U57" s="4"/>
      <c r="V57" s="4"/>
      <c r="W57" s="4"/>
      <c r="X57" s="4"/>
      <c r="Y57" s="4"/>
      <c r="Z57" s="4"/>
    </row>
    <row r="58" spans="1:26" ht="13.5" thickTop="1">
      <c r="A58" s="4"/>
      <c r="B58" s="12"/>
      <c r="C58" s="4"/>
      <c r="D58" s="4"/>
      <c r="E58" s="4"/>
      <c r="F58" s="4"/>
      <c r="G58" s="4"/>
      <c r="H58" s="4"/>
      <c r="I58" s="4"/>
      <c r="J58" s="4"/>
      <c r="K58" s="4"/>
      <c r="L58" s="4"/>
      <c r="M58" s="4"/>
      <c r="N58" s="4"/>
      <c r="O58" s="12"/>
      <c r="P58" s="4"/>
      <c r="Q58" s="4"/>
      <c r="R58" s="4"/>
      <c r="S58" s="4"/>
      <c r="T58" s="4"/>
      <c r="U58" s="4"/>
      <c r="V58" s="4"/>
      <c r="W58" s="4"/>
      <c r="X58" s="4"/>
      <c r="Y58" s="4"/>
      <c r="Z58" s="4"/>
    </row>
    <row r="59" spans="1:26" ht="12.75">
      <c r="A59" s="4"/>
      <c r="B59" s="12"/>
      <c r="C59" s="12"/>
      <c r="D59" s="12"/>
      <c r="E59" s="12"/>
      <c r="F59" s="12"/>
      <c r="G59" s="12"/>
      <c r="H59" s="12"/>
      <c r="I59" s="12"/>
      <c r="J59" s="12"/>
      <c r="K59" s="12"/>
      <c r="L59" s="12"/>
      <c r="M59" s="12"/>
      <c r="N59" s="12"/>
      <c r="O59" s="12"/>
      <c r="P59" s="4"/>
      <c r="Q59" s="4"/>
      <c r="R59" s="4"/>
      <c r="S59" s="4"/>
      <c r="T59" s="4"/>
      <c r="U59" s="4"/>
      <c r="V59" s="4"/>
      <c r="W59" s="4"/>
      <c r="X59" s="4"/>
      <c r="Y59" s="4"/>
      <c r="Z59" s="4"/>
    </row>
    <row r="60" spans="1:26" ht="12.7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hidden="1">
      <c r="A103" s="4">
        <v>123</v>
      </c>
      <c r="B103" s="15" t="s">
        <v>335</v>
      </c>
      <c r="C103" s="15"/>
      <c r="D103" s="15" t="s">
        <v>204</v>
      </c>
      <c r="E103" s="15" t="s">
        <v>303</v>
      </c>
      <c r="F103" s="15" t="s">
        <v>304</v>
      </c>
      <c r="G103" s="15" t="s">
        <v>322</v>
      </c>
      <c r="H103" s="15" t="s">
        <v>305</v>
      </c>
      <c r="I103" s="15" t="s">
        <v>336</v>
      </c>
      <c r="J103" s="4"/>
      <c r="K103" s="4"/>
      <c r="L103" s="4"/>
      <c r="M103" s="4"/>
      <c r="N103" s="4"/>
      <c r="O103" s="4"/>
      <c r="P103" s="4"/>
      <c r="Q103" s="4"/>
      <c r="R103" s="4"/>
      <c r="S103" s="4"/>
      <c r="T103" s="4"/>
      <c r="U103" s="4"/>
      <c r="V103" s="4"/>
      <c r="W103" s="4"/>
      <c r="X103" s="4"/>
      <c r="Y103" s="4"/>
      <c r="Z103" s="4"/>
    </row>
    <row r="104" spans="1:26" ht="12.75" hidden="1">
      <c r="A104" s="4">
        <v>124</v>
      </c>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hidden="1">
      <c r="A105" s="4">
        <v>125</v>
      </c>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hidden="1">
      <c r="A106" s="4">
        <v>126</v>
      </c>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hidden="1">
      <c r="A107" s="4">
        <v>127</v>
      </c>
      <c r="B107" s="4"/>
      <c r="C107" s="4"/>
      <c r="D107" s="4"/>
      <c r="E107" s="94" t="s">
        <v>311</v>
      </c>
      <c r="F107" s="94"/>
      <c r="G107" s="94">
        <v>2990</v>
      </c>
      <c r="H107" s="4"/>
      <c r="I107" s="4"/>
      <c r="J107" s="4"/>
      <c r="K107" s="4"/>
      <c r="L107" s="4"/>
      <c r="M107" s="4"/>
      <c r="N107" s="4"/>
      <c r="O107" s="4"/>
      <c r="P107" s="4"/>
      <c r="Q107" s="4"/>
      <c r="R107" s="4"/>
      <c r="S107" s="4"/>
      <c r="T107" s="4"/>
      <c r="U107" s="4"/>
      <c r="V107" s="4"/>
      <c r="W107" s="4"/>
      <c r="X107" s="4"/>
      <c r="Y107" s="4"/>
      <c r="Z107" s="4"/>
    </row>
    <row r="108" spans="1:26" ht="12.75" hidden="1">
      <c r="A108" s="4">
        <v>128</v>
      </c>
      <c r="B108" s="4"/>
      <c r="C108" s="4"/>
      <c r="D108" s="4"/>
      <c r="E108" s="94" t="s">
        <v>312</v>
      </c>
      <c r="F108" s="94"/>
      <c r="G108" s="94">
        <f>G107*0.5</f>
        <v>1495</v>
      </c>
      <c r="H108" s="4"/>
      <c r="I108" s="4"/>
      <c r="J108" s="4"/>
      <c r="K108" s="4"/>
      <c r="L108" s="4"/>
      <c r="M108" s="4"/>
      <c r="N108" s="4"/>
      <c r="O108" s="4"/>
      <c r="P108" s="4"/>
      <c r="Q108" s="4"/>
      <c r="R108" s="4"/>
      <c r="S108" s="4"/>
      <c r="T108" s="4"/>
      <c r="U108" s="4"/>
      <c r="V108" s="4"/>
      <c r="W108" s="4"/>
      <c r="X108" s="4"/>
      <c r="Y108" s="4"/>
      <c r="Z108" s="4"/>
    </row>
    <row r="109" spans="1:26" ht="12.75" hidden="1">
      <c r="A109" s="4">
        <v>129</v>
      </c>
      <c r="B109" s="4"/>
      <c r="C109" s="4"/>
      <c r="D109" s="94"/>
      <c r="E109" s="94" t="s">
        <v>2</v>
      </c>
      <c r="F109" s="94"/>
      <c r="G109" s="268" t="s">
        <v>322</v>
      </c>
      <c r="H109" s="94"/>
      <c r="I109" s="268" t="s">
        <v>321</v>
      </c>
      <c r="J109" s="266"/>
      <c r="K109" s="266"/>
      <c r="L109" s="94"/>
      <c r="M109" s="94"/>
      <c r="N109" s="94"/>
      <c r="O109" s="94"/>
      <c r="P109" s="94"/>
      <c r="Q109" s="4"/>
      <c r="R109" s="4"/>
      <c r="S109" s="4"/>
      <c r="T109" s="4"/>
      <c r="U109" s="4"/>
      <c r="V109" s="4"/>
      <c r="W109" s="4"/>
      <c r="X109" s="4"/>
      <c r="Y109" s="4"/>
      <c r="Z109" s="4"/>
    </row>
    <row r="110" spans="1:26" ht="12.75" hidden="1">
      <c r="A110" s="4">
        <v>130</v>
      </c>
      <c r="B110" s="268" t="s">
        <v>313</v>
      </c>
      <c r="C110" s="276"/>
      <c r="D110" s="94"/>
      <c r="E110" s="4"/>
      <c r="F110" s="4"/>
      <c r="G110" s="185" t="s">
        <v>205</v>
      </c>
      <c r="H110" s="4"/>
      <c r="I110" s="183" t="s">
        <v>86</v>
      </c>
      <c r="J110" s="4"/>
      <c r="K110" s="4"/>
      <c r="L110" s="183"/>
      <c r="M110" s="94"/>
      <c r="N110" s="94"/>
      <c r="O110" s="4"/>
      <c r="P110" s="4"/>
      <c r="Q110" s="4"/>
      <c r="R110" s="4"/>
      <c r="S110" s="4"/>
      <c r="T110" s="4"/>
      <c r="U110" s="4"/>
      <c r="V110" s="4"/>
      <c r="W110" s="4"/>
      <c r="X110" s="4"/>
      <c r="Y110" s="4"/>
      <c r="Z110" s="4"/>
    </row>
    <row r="111" spans="1:26" ht="12.75" hidden="1">
      <c r="A111" s="4">
        <v>131</v>
      </c>
      <c r="B111" s="268"/>
      <c r="C111" s="276"/>
      <c r="D111" s="94" t="s">
        <v>206</v>
      </c>
      <c r="E111" s="4"/>
      <c r="F111" s="4"/>
      <c r="G111" s="266"/>
      <c r="H111" s="4"/>
      <c r="I111" s="184"/>
      <c r="J111" s="4"/>
      <c r="K111" s="4"/>
      <c r="L111" s="111"/>
      <c r="M111" s="94"/>
      <c r="N111" s="94"/>
      <c r="O111" s="4"/>
      <c r="P111" s="4"/>
      <c r="Q111" s="4"/>
      <c r="R111" s="4"/>
      <c r="S111" s="4"/>
      <c r="T111" s="4"/>
      <c r="U111" s="4"/>
      <c r="V111" s="4"/>
      <c r="W111" s="4"/>
      <c r="X111" s="4"/>
      <c r="Y111" s="4"/>
      <c r="Z111" s="4"/>
    </row>
    <row r="112" spans="1:26" ht="12.75" hidden="1">
      <c r="A112" s="4">
        <v>132</v>
      </c>
      <c r="B112" s="268">
        <v>8</v>
      </c>
      <c r="C112" s="276"/>
      <c r="D112" s="94" t="s">
        <v>207</v>
      </c>
      <c r="E112" s="268" t="s">
        <v>314</v>
      </c>
      <c r="F112" s="4"/>
      <c r="G112" s="186">
        <v>3400</v>
      </c>
      <c r="H112" s="4"/>
      <c r="I112" s="184">
        <f>$G$108</f>
        <v>1495</v>
      </c>
      <c r="J112" s="4"/>
      <c r="K112" s="4"/>
      <c r="L112" s="111"/>
      <c r="M112" s="94"/>
      <c r="N112" s="94"/>
      <c r="O112" s="4"/>
      <c r="P112" s="94"/>
      <c r="Q112" s="4"/>
      <c r="R112" s="4"/>
      <c r="S112" s="4"/>
      <c r="T112" s="4"/>
      <c r="U112" s="4"/>
      <c r="V112" s="4"/>
      <c r="W112" s="4"/>
      <c r="X112" s="4"/>
      <c r="Y112" s="4"/>
      <c r="Z112" s="4"/>
    </row>
    <row r="113" spans="1:26" ht="12.75" hidden="1">
      <c r="A113" s="4">
        <v>133</v>
      </c>
      <c r="B113" s="268" t="s">
        <v>2</v>
      </c>
      <c r="C113" s="276"/>
      <c r="D113" s="94"/>
      <c r="E113" s="268"/>
      <c r="F113" s="4"/>
      <c r="G113" s="268"/>
      <c r="H113" s="4"/>
      <c r="I113" s="184"/>
      <c r="J113" s="4"/>
      <c r="K113" s="4"/>
      <c r="L113" s="111"/>
      <c r="M113" s="94"/>
      <c r="N113" s="94"/>
      <c r="O113" s="4"/>
      <c r="P113" s="94"/>
      <c r="Q113" s="4"/>
      <c r="R113" s="4"/>
      <c r="S113" s="4"/>
      <c r="T113" s="4"/>
      <c r="U113" s="4"/>
      <c r="V113" s="4"/>
      <c r="W113" s="4"/>
      <c r="X113" s="4"/>
      <c r="Y113" s="4"/>
      <c r="Z113" s="4"/>
    </row>
    <row r="114" spans="1:26" ht="12.75" hidden="1">
      <c r="A114" s="4">
        <v>134</v>
      </c>
      <c r="B114" s="268">
        <v>7</v>
      </c>
      <c r="C114" s="276"/>
      <c r="D114" s="94" t="s">
        <v>207</v>
      </c>
      <c r="E114" s="268" t="s">
        <v>315</v>
      </c>
      <c r="F114" s="4"/>
      <c r="G114" s="268">
        <v>4000</v>
      </c>
      <c r="H114" s="4"/>
      <c r="I114" s="184">
        <f>$G$108</f>
        <v>1495</v>
      </c>
      <c r="J114" s="4"/>
      <c r="K114" s="4"/>
      <c r="L114" s="111"/>
      <c r="M114" s="94"/>
      <c r="N114" s="94"/>
      <c r="O114" s="4"/>
      <c r="P114" s="94"/>
      <c r="Q114" s="4"/>
      <c r="R114" s="4"/>
      <c r="S114" s="4"/>
      <c r="T114" s="4"/>
      <c r="U114" s="4"/>
      <c r="V114" s="4"/>
      <c r="W114" s="4"/>
      <c r="X114" s="4"/>
      <c r="Y114" s="4"/>
      <c r="Z114" s="4"/>
    </row>
    <row r="115" spans="1:26" ht="12.75" hidden="1">
      <c r="A115" s="4">
        <v>135</v>
      </c>
      <c r="B115" s="268" t="s">
        <v>2</v>
      </c>
      <c r="C115" s="276"/>
      <c r="D115" s="94"/>
      <c r="E115" s="268"/>
      <c r="F115" s="4"/>
      <c r="G115" s="268"/>
      <c r="H115" s="4"/>
      <c r="I115" s="184"/>
      <c r="J115" s="4"/>
      <c r="K115" s="4"/>
      <c r="L115" s="111"/>
      <c r="M115" s="94"/>
      <c r="N115" s="94"/>
      <c r="O115" s="4"/>
      <c r="P115" s="94"/>
      <c r="Q115" s="4"/>
      <c r="R115" s="4"/>
      <c r="S115" s="4"/>
      <c r="T115" s="4"/>
      <c r="U115" s="4"/>
      <c r="V115" s="4"/>
      <c r="W115" s="4"/>
      <c r="X115" s="4"/>
      <c r="Y115" s="4"/>
      <c r="Z115" s="4"/>
    </row>
    <row r="116" spans="1:26" ht="12.75" hidden="1">
      <c r="A116" s="4">
        <v>136</v>
      </c>
      <c r="B116" s="268">
        <v>6</v>
      </c>
      <c r="C116" s="276"/>
      <c r="D116" s="94" t="s">
        <v>207</v>
      </c>
      <c r="E116" s="268" t="s">
        <v>316</v>
      </c>
      <c r="F116" s="4"/>
      <c r="G116" s="268">
        <v>3000</v>
      </c>
      <c r="H116" s="4"/>
      <c r="I116" s="184">
        <f>$G$108</f>
        <v>1495</v>
      </c>
      <c r="J116" s="4"/>
      <c r="K116" s="4"/>
      <c r="L116" s="111"/>
      <c r="M116" s="94"/>
      <c r="N116" s="94"/>
      <c r="O116" s="4"/>
      <c r="P116" s="94"/>
      <c r="Q116" s="4"/>
      <c r="R116" s="4"/>
      <c r="S116" s="4"/>
      <c r="T116" s="4"/>
      <c r="U116" s="4"/>
      <c r="V116" s="4"/>
      <c r="W116" s="4"/>
      <c r="X116" s="4"/>
      <c r="Y116" s="4"/>
      <c r="Z116" s="4"/>
    </row>
    <row r="117" spans="1:26" ht="12.75" hidden="1">
      <c r="A117" s="4">
        <v>137</v>
      </c>
      <c r="B117" s="4"/>
      <c r="C117" s="4"/>
      <c r="D117" s="94"/>
      <c r="E117" s="268" t="s">
        <v>2</v>
      </c>
      <c r="F117" s="4"/>
      <c r="G117" s="94"/>
      <c r="H117" s="94"/>
      <c r="I117" s="94"/>
      <c r="J117" s="94"/>
      <c r="K117" s="94"/>
      <c r="L117" s="94"/>
      <c r="M117" s="94"/>
      <c r="N117" s="94"/>
      <c r="O117" s="4"/>
      <c r="P117" s="94"/>
      <c r="Q117" s="4"/>
      <c r="R117" s="4"/>
      <c r="S117" s="4"/>
      <c r="T117" s="4"/>
      <c r="U117" s="4"/>
      <c r="V117" s="4"/>
      <c r="W117" s="4"/>
      <c r="X117" s="4"/>
      <c r="Y117" s="4"/>
      <c r="Z117" s="4"/>
    </row>
    <row r="118" spans="1:26" ht="12.75" hidden="1">
      <c r="A118" s="4">
        <v>138</v>
      </c>
      <c r="B118" s="4"/>
      <c r="C118" s="4"/>
      <c r="D118" s="94"/>
      <c r="E118" s="94"/>
      <c r="F118" s="94"/>
      <c r="G118" s="94"/>
      <c r="H118" s="94"/>
      <c r="I118" s="94"/>
      <c r="J118" s="94"/>
      <c r="K118" s="94"/>
      <c r="L118" s="94"/>
      <c r="M118" s="94"/>
      <c r="N118" s="94"/>
      <c r="O118" s="94"/>
      <c r="P118" s="94"/>
      <c r="Q118" s="4"/>
      <c r="R118" s="4"/>
      <c r="S118" s="4"/>
      <c r="T118" s="4"/>
      <c r="U118" s="4"/>
      <c r="V118" s="4"/>
      <c r="W118" s="4"/>
      <c r="X118" s="4"/>
      <c r="Y118" s="4"/>
      <c r="Z118" s="4"/>
    </row>
    <row r="119" spans="1:26" ht="12.75" hidden="1">
      <c r="A119" s="4">
        <v>139</v>
      </c>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hidden="1">
      <c r="A120" s="4">
        <v>140</v>
      </c>
      <c r="B120" s="4"/>
      <c r="C120" s="4"/>
      <c r="D120" s="4"/>
      <c r="E120" s="266">
        <v>140</v>
      </c>
      <c r="F120" s="4"/>
      <c r="G120" s="94" t="s">
        <v>302</v>
      </c>
      <c r="H120" s="4"/>
      <c r="I120" s="94"/>
      <c r="J120" s="4"/>
      <c r="K120" s="4"/>
      <c r="L120" s="4"/>
      <c r="M120" s="4"/>
      <c r="N120" s="268" t="s">
        <v>306</v>
      </c>
      <c r="O120" s="268" t="s">
        <v>319</v>
      </c>
      <c r="P120" s="268" t="s">
        <v>320</v>
      </c>
      <c r="Q120" s="4"/>
      <c r="R120" s="4"/>
      <c r="S120" s="4"/>
      <c r="T120" s="4"/>
      <c r="U120" s="4"/>
      <c r="V120" s="4"/>
      <c r="W120" s="4"/>
      <c r="X120" s="4"/>
      <c r="Y120" s="4"/>
      <c r="Z120" s="4"/>
    </row>
    <row r="121" spans="1:26" ht="12.75" hidden="1">
      <c r="A121" s="4">
        <v>141</v>
      </c>
      <c r="B121" s="4"/>
      <c r="C121" s="4"/>
      <c r="D121" s="4"/>
      <c r="E121" s="266">
        <v>141</v>
      </c>
      <c r="F121" s="4"/>
      <c r="G121" s="94" t="s">
        <v>307</v>
      </c>
      <c r="H121" s="4"/>
      <c r="I121" s="111">
        <f>653*G112</f>
        <v>2220200</v>
      </c>
      <c r="J121" s="27"/>
      <c r="K121" s="27"/>
      <c r="L121" s="27"/>
      <c r="M121" s="187" t="s">
        <v>309</v>
      </c>
      <c r="N121" s="27"/>
      <c r="O121" s="27"/>
      <c r="P121" s="27"/>
      <c r="Q121" s="4"/>
      <c r="R121" s="4"/>
      <c r="S121" s="4"/>
      <c r="T121" s="4"/>
      <c r="U121" s="4"/>
      <c r="V121" s="4"/>
      <c r="W121" s="4"/>
      <c r="X121" s="4"/>
      <c r="Y121" s="4"/>
      <c r="Z121" s="4"/>
    </row>
    <row r="122" spans="1:26" ht="12.75" hidden="1">
      <c r="A122" s="4">
        <v>142</v>
      </c>
      <c r="B122" s="4"/>
      <c r="C122" s="4"/>
      <c r="D122" s="4"/>
      <c r="E122" s="266">
        <v>142</v>
      </c>
      <c r="F122" s="4"/>
      <c r="G122" s="94" t="s">
        <v>308</v>
      </c>
      <c r="H122" s="4"/>
      <c r="I122" s="111">
        <f>300*G112</f>
        <v>1020000</v>
      </c>
      <c r="J122" s="27"/>
      <c r="K122" s="27"/>
      <c r="L122" s="27"/>
      <c r="M122" s="111" t="s">
        <v>310</v>
      </c>
      <c r="N122" s="142">
        <v>0</v>
      </c>
      <c r="O122" s="142">
        <v>0</v>
      </c>
      <c r="P122" s="142">
        <v>0</v>
      </c>
      <c r="Q122" s="4"/>
      <c r="R122" s="4"/>
      <c r="S122" s="4"/>
      <c r="T122" s="4"/>
      <c r="U122" s="4"/>
      <c r="V122" s="4"/>
      <c r="W122" s="4"/>
      <c r="X122" s="4"/>
      <c r="Y122" s="4"/>
      <c r="Z122" s="4"/>
    </row>
    <row r="123" spans="1:26" ht="12.75" hidden="1">
      <c r="A123" s="4">
        <v>143</v>
      </c>
      <c r="B123" s="4"/>
      <c r="C123" s="4"/>
      <c r="D123" s="4"/>
      <c r="E123" s="266">
        <v>143</v>
      </c>
      <c r="F123" s="4"/>
      <c r="G123" s="94" t="s">
        <v>260</v>
      </c>
      <c r="H123" s="4"/>
      <c r="I123" s="111">
        <f>N128</f>
        <v>471400</v>
      </c>
      <c r="J123" s="27"/>
      <c r="K123" s="27"/>
      <c r="L123" s="27"/>
      <c r="M123" s="111" t="s">
        <v>212</v>
      </c>
      <c r="N123" s="142">
        <v>150000</v>
      </c>
      <c r="O123" s="142">
        <v>150000</v>
      </c>
      <c r="P123" s="142">
        <v>150000</v>
      </c>
      <c r="Q123" s="4"/>
      <c r="R123" s="4"/>
      <c r="S123" s="4"/>
      <c r="T123" s="4"/>
      <c r="U123" s="4"/>
      <c r="V123" s="4"/>
      <c r="W123" s="4"/>
      <c r="X123" s="4"/>
      <c r="Y123" s="4"/>
      <c r="Z123" s="4"/>
    </row>
    <row r="124" spans="1:26" ht="12.75" hidden="1">
      <c r="A124" s="4">
        <v>144</v>
      </c>
      <c r="B124" s="4"/>
      <c r="C124" s="4"/>
      <c r="D124" s="4"/>
      <c r="E124" s="266">
        <v>144</v>
      </c>
      <c r="F124" s="4"/>
      <c r="G124" s="265" t="s">
        <v>105</v>
      </c>
      <c r="H124" s="5"/>
      <c r="I124" s="187">
        <f>SUM(I121:I123)</f>
        <v>3711600</v>
      </c>
      <c r="J124" s="27"/>
      <c r="K124" s="27"/>
      <c r="L124" s="27"/>
      <c r="M124" s="111" t="s">
        <v>327</v>
      </c>
      <c r="N124" s="142">
        <f>471400-150000</f>
        <v>321400</v>
      </c>
      <c r="O124" s="142">
        <v>321400</v>
      </c>
      <c r="P124" s="142">
        <v>321400</v>
      </c>
      <c r="Q124" s="4"/>
      <c r="R124" s="4"/>
      <c r="S124" s="4"/>
      <c r="T124" s="4"/>
      <c r="U124" s="4"/>
      <c r="V124" s="4"/>
      <c r="W124" s="4"/>
      <c r="X124" s="4"/>
      <c r="Y124" s="4"/>
      <c r="Z124" s="4"/>
    </row>
    <row r="125" spans="1:26" ht="12.75" hidden="1">
      <c r="A125" s="4">
        <v>145</v>
      </c>
      <c r="B125" s="4"/>
      <c r="C125" s="4"/>
      <c r="D125" s="4"/>
      <c r="E125" s="266">
        <v>145</v>
      </c>
      <c r="F125" s="4"/>
      <c r="G125" s="94" t="s">
        <v>317</v>
      </c>
      <c r="H125" s="4"/>
      <c r="I125" s="111">
        <f>653*G114</f>
        <v>2612000</v>
      </c>
      <c r="J125" s="27"/>
      <c r="K125" s="27"/>
      <c r="L125" s="27"/>
      <c r="M125" s="111"/>
      <c r="N125" s="142"/>
      <c r="O125" s="142"/>
      <c r="P125" s="142"/>
      <c r="Q125" s="4"/>
      <c r="R125" s="4"/>
      <c r="S125" s="4"/>
      <c r="T125" s="4"/>
      <c r="U125" s="4"/>
      <c r="V125" s="4"/>
      <c r="W125" s="4"/>
      <c r="X125" s="4"/>
      <c r="Y125" s="4"/>
      <c r="Z125" s="4"/>
    </row>
    <row r="126" spans="1:26" ht="12.75" hidden="1">
      <c r="A126" s="4">
        <v>146</v>
      </c>
      <c r="B126" s="4"/>
      <c r="C126" s="4"/>
      <c r="D126" s="4"/>
      <c r="E126" s="266">
        <v>146</v>
      </c>
      <c r="F126" s="4"/>
      <c r="G126" s="94" t="s">
        <v>308</v>
      </c>
      <c r="H126" s="4"/>
      <c r="I126" s="111">
        <f>300*G114</f>
        <v>1200000</v>
      </c>
      <c r="J126" s="27"/>
      <c r="K126" s="27"/>
      <c r="L126" s="27"/>
      <c r="M126" s="111"/>
      <c r="N126" s="142"/>
      <c r="O126" s="142"/>
      <c r="P126" s="142"/>
      <c r="Q126" s="4"/>
      <c r="R126" s="4"/>
      <c r="S126" s="4"/>
      <c r="T126" s="4"/>
      <c r="U126" s="4"/>
      <c r="V126" s="4"/>
      <c r="W126" s="4"/>
      <c r="X126" s="4"/>
      <c r="Y126" s="4"/>
      <c r="Z126" s="4"/>
    </row>
    <row r="127" spans="1:26" ht="12.75" hidden="1">
      <c r="A127" s="4">
        <v>147</v>
      </c>
      <c r="B127" s="4"/>
      <c r="C127" s="4"/>
      <c r="D127" s="4"/>
      <c r="E127" s="266">
        <v>147</v>
      </c>
      <c r="F127" s="4"/>
      <c r="G127" s="94" t="s">
        <v>260</v>
      </c>
      <c r="H127" s="4"/>
      <c r="I127" s="111">
        <f>O128</f>
        <v>471400</v>
      </c>
      <c r="J127" s="27"/>
      <c r="K127" s="27"/>
      <c r="L127" s="27"/>
      <c r="M127" s="111"/>
      <c r="N127" s="142"/>
      <c r="O127" s="142"/>
      <c r="P127" s="142"/>
      <c r="Q127" s="4"/>
      <c r="R127" s="4"/>
      <c r="S127" s="4"/>
      <c r="T127" s="4"/>
      <c r="U127" s="4"/>
      <c r="V127" s="4"/>
      <c r="W127" s="4"/>
      <c r="X127" s="4"/>
      <c r="Y127" s="4"/>
      <c r="Z127" s="4"/>
    </row>
    <row r="128" spans="1:26" ht="13.5" hidden="1" thickBot="1">
      <c r="A128" s="4">
        <v>148</v>
      </c>
      <c r="B128" s="4"/>
      <c r="C128" s="4"/>
      <c r="D128" s="4"/>
      <c r="E128" s="94">
        <v>148</v>
      </c>
      <c r="F128" s="4"/>
      <c r="G128" s="265" t="s">
        <v>105</v>
      </c>
      <c r="H128" s="5"/>
      <c r="I128" s="187">
        <f>SUM(I125:I127)</f>
        <v>4283400</v>
      </c>
      <c r="J128" s="27"/>
      <c r="K128" s="27"/>
      <c r="L128" s="27"/>
      <c r="M128" s="27"/>
      <c r="N128" s="144">
        <f>SUM(N121:N124)</f>
        <v>471400</v>
      </c>
      <c r="O128" s="144">
        <f>SUM(O121:O124)</f>
        <v>471400</v>
      </c>
      <c r="P128" s="144">
        <f>SUM(P121:P124)</f>
        <v>471400</v>
      </c>
      <c r="Q128" s="4"/>
      <c r="R128" s="4"/>
      <c r="S128" s="4"/>
      <c r="T128" s="4"/>
      <c r="U128" s="4"/>
      <c r="V128" s="4"/>
      <c r="W128" s="4"/>
      <c r="X128" s="4"/>
      <c r="Y128" s="4"/>
      <c r="Z128" s="4"/>
    </row>
    <row r="129" spans="1:26" ht="13.5" hidden="1" thickTop="1">
      <c r="A129" s="4">
        <v>149</v>
      </c>
      <c r="B129" s="4"/>
      <c r="C129" s="4"/>
      <c r="D129" s="4"/>
      <c r="E129" s="94">
        <v>149</v>
      </c>
      <c r="F129" s="4"/>
      <c r="G129" s="94" t="s">
        <v>318</v>
      </c>
      <c r="H129" s="4"/>
      <c r="I129" s="111">
        <f>653*G116</f>
        <v>1959000</v>
      </c>
      <c r="J129" s="27"/>
      <c r="K129" s="27"/>
      <c r="L129" s="27"/>
      <c r="M129" s="27"/>
      <c r="N129" s="27"/>
      <c r="O129" s="27"/>
      <c r="P129" s="27"/>
      <c r="Q129" s="4"/>
      <c r="R129" s="4"/>
      <c r="S129" s="4"/>
      <c r="T129" s="4"/>
      <c r="U129" s="4"/>
      <c r="V129" s="4"/>
      <c r="W129" s="4"/>
      <c r="X129" s="4"/>
      <c r="Y129" s="4"/>
      <c r="Z129" s="4"/>
    </row>
    <row r="130" spans="1:26" ht="12.75" hidden="1">
      <c r="A130" s="4">
        <v>150</v>
      </c>
      <c r="B130" s="4"/>
      <c r="C130" s="4"/>
      <c r="D130" s="4"/>
      <c r="E130" s="94">
        <v>150</v>
      </c>
      <c r="F130" s="4"/>
      <c r="G130" s="94" t="s">
        <v>308</v>
      </c>
      <c r="H130" s="4"/>
      <c r="I130" s="111">
        <f>300*G116</f>
        <v>900000</v>
      </c>
      <c r="J130" s="27"/>
      <c r="K130" s="27"/>
      <c r="L130" s="27"/>
      <c r="M130" s="27"/>
      <c r="N130" s="27"/>
      <c r="O130" s="27"/>
      <c r="P130" s="27"/>
      <c r="Q130" s="4"/>
      <c r="R130" s="4"/>
      <c r="S130" s="4"/>
      <c r="T130" s="4"/>
      <c r="U130" s="4"/>
      <c r="V130" s="4"/>
      <c r="W130" s="4"/>
      <c r="X130" s="4"/>
      <c r="Y130" s="4"/>
      <c r="Z130" s="4"/>
    </row>
    <row r="131" spans="1:26" ht="12.75" hidden="1">
      <c r="A131" s="4">
        <v>151</v>
      </c>
      <c r="B131" s="4"/>
      <c r="C131" s="4"/>
      <c r="D131" s="4"/>
      <c r="E131" s="94">
        <v>151</v>
      </c>
      <c r="F131" s="4"/>
      <c r="G131" s="94" t="s">
        <v>260</v>
      </c>
      <c r="H131" s="4"/>
      <c r="I131" s="111">
        <f>P128</f>
        <v>471400</v>
      </c>
      <c r="J131" s="27"/>
      <c r="K131" s="27"/>
      <c r="L131" s="27"/>
      <c r="M131" s="27"/>
      <c r="N131" s="27"/>
      <c r="O131" s="27"/>
      <c r="P131" s="27"/>
      <c r="Q131" s="4"/>
      <c r="R131" s="4"/>
      <c r="S131" s="4"/>
      <c r="T131" s="4"/>
      <c r="U131" s="4"/>
      <c r="V131" s="4"/>
      <c r="W131" s="4"/>
      <c r="X131" s="4"/>
      <c r="Y131" s="4"/>
      <c r="Z131" s="4"/>
    </row>
    <row r="132" spans="1:26" ht="12.75" hidden="1">
      <c r="A132" s="4">
        <v>152</v>
      </c>
      <c r="D132" s="4"/>
      <c r="E132" s="94">
        <v>152</v>
      </c>
      <c r="F132" s="4"/>
      <c r="G132" s="265" t="s">
        <v>105</v>
      </c>
      <c r="H132" s="5"/>
      <c r="I132" s="187">
        <f>SUM(I129:I131)</f>
        <v>3330400</v>
      </c>
      <c r="J132" s="4"/>
      <c r="K132" s="4"/>
      <c r="L132" s="4"/>
      <c r="M132" s="4"/>
      <c r="N132" s="4"/>
      <c r="O132" s="4"/>
      <c r="P132" s="4"/>
      <c r="Q132" s="4"/>
      <c r="R132" s="4"/>
      <c r="S132" s="4"/>
      <c r="T132" s="4"/>
      <c r="U132" s="4"/>
      <c r="V132" s="4"/>
      <c r="W132" s="4"/>
      <c r="X132" s="4"/>
      <c r="Y132" s="4"/>
      <c r="Z132" s="4"/>
    </row>
    <row r="133" ht="12.75" hidden="1"/>
  </sheetData>
  <sheetProtection password="CE3F" sheet="1" selectLockedCells="1" selectUnlockedCells="1"/>
  <mergeCells count="9">
    <mergeCell ref="E38:G38"/>
    <mergeCell ref="E11:G11"/>
    <mergeCell ref="D34:M34"/>
    <mergeCell ref="D35:M35"/>
    <mergeCell ref="D36:M36"/>
    <mergeCell ref="D2:M2"/>
    <mergeCell ref="D7:M7"/>
    <mergeCell ref="D8:M8"/>
    <mergeCell ref="D9:M9"/>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Governors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gcarlson</dc:creator>
  <cp:keywords/>
  <dc:description/>
  <cp:lastModifiedBy>mnuttall</cp:lastModifiedBy>
  <cp:lastPrinted>2011-02-04T13:29:21Z</cp:lastPrinted>
  <dcterms:created xsi:type="dcterms:W3CDTF">2006-03-28T16:40:58Z</dcterms:created>
  <dcterms:modified xsi:type="dcterms:W3CDTF">2012-01-31T16:33:45Z</dcterms:modified>
  <cp:category/>
  <cp:version/>
  <cp:contentType/>
  <cp:contentStatus/>
</cp:coreProperties>
</file>