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thumbnail" Target="docProps/thumbnail.jpeg"/>
  <Relationship Id="rId3" Type="http://schemas.openxmlformats.org/package/2006/relationships/metadata/core-properties" Target="docProps/core.xml"/>
  <Relationship Id="rId4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07"/>
  <workbookPr showInkAnnotation="0"/>
  <mc:AlternateContent xmlns:mc="http://schemas.openxmlformats.org/markup-compatibility/2006">
    <mc:Choice Requires="x15">
      <x15ac:absPath xmlns:x15ac="http://schemas.microsoft.com/office/spreadsheetml/2010/11/ac" url="/Users/SC/Desktop/Group Project/"/>
    </mc:Choice>
  </mc:AlternateContent>
  <bookViews>
    <workbookView xWindow="0" yWindow="460" windowWidth="28800" windowHeight="1594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P4" i="1"/>
  <c r="D18" i="1"/>
  <c r="C18" i="1"/>
  <c r="B18" i="1"/>
  <c r="B4" i="1"/>
  <c r="C4" i="1"/>
  <c r="D4" i="1"/>
  <c r="Q6" i="1"/>
  <c r="R35" i="1"/>
  <c r="S35" i="1"/>
  <c r="Q35" i="1"/>
  <c r="R34" i="1"/>
  <c r="S34" i="1"/>
  <c r="Q34" i="1"/>
  <c r="R32" i="1"/>
  <c r="S32" i="1"/>
  <c r="Q32" i="1"/>
  <c r="R27" i="1"/>
  <c r="R31" i="1"/>
  <c r="S27" i="1"/>
  <c r="S31" i="1"/>
  <c r="Q27" i="1"/>
  <c r="Q31" i="1"/>
  <c r="R33" i="1"/>
  <c r="S33" i="1"/>
  <c r="Q33" i="1"/>
  <c r="R37" i="1"/>
  <c r="S37" i="1"/>
  <c r="Q37" i="1"/>
  <c r="R20" i="1"/>
  <c r="S20" i="1"/>
  <c r="Q20" i="1"/>
  <c r="E4" i="1"/>
  <c r="F4" i="1"/>
  <c r="G4" i="1"/>
  <c r="H4" i="1"/>
  <c r="I4" i="1"/>
  <c r="J4" i="1"/>
  <c r="K4" i="1"/>
  <c r="L4" i="1"/>
  <c r="M4" i="1"/>
  <c r="N4" i="1"/>
  <c r="O4" i="1"/>
  <c r="N7" i="1"/>
  <c r="O7" i="1"/>
  <c r="P7" i="1"/>
  <c r="K7" i="1"/>
  <c r="L7" i="1"/>
  <c r="M7" i="1"/>
  <c r="H7" i="1"/>
  <c r="I7" i="1"/>
  <c r="J7" i="1"/>
  <c r="E6" i="1"/>
  <c r="E7" i="1"/>
  <c r="F7" i="1"/>
  <c r="G7" i="1"/>
  <c r="C7" i="1"/>
  <c r="D7" i="1"/>
  <c r="B7" i="1"/>
</calcChain>
</file>

<file path=xl/sharedStrings.xml><?xml version="1.0" encoding="utf-8"?>
<sst xmlns="http://schemas.openxmlformats.org/spreadsheetml/2006/main" count="51" uniqueCount="48">
  <si>
    <t>Market value added ($ millions)</t>
  </si>
  <si>
    <t xml:space="preserve">Market-to-book ratio </t>
  </si>
  <si>
    <t>Profitability Measures</t>
  </si>
  <si>
    <t xml:space="preserve">Return on assets (ROA) </t>
  </si>
  <si>
    <t xml:space="preserve">Return on capital (ROC) </t>
  </si>
  <si>
    <t xml:space="preserve">Return on equity (ROE) </t>
  </si>
  <si>
    <t>EVA* ($ millions)</t>
  </si>
  <si>
    <t xml:space="preserve">Operating profit margin </t>
  </si>
  <si>
    <t>Efficiency Measures</t>
  </si>
  <si>
    <t>Asset turnover</t>
  </si>
  <si>
    <t>Receivables turnover</t>
  </si>
  <si>
    <t xml:space="preserve">Average collection period (days) </t>
  </si>
  <si>
    <t>Inventory turnover</t>
  </si>
  <si>
    <t>Days in inventory</t>
  </si>
  <si>
    <t>Leverage Measures</t>
  </si>
  <si>
    <t>Long-term debt ratio</t>
  </si>
  <si>
    <t xml:space="preserve">Long-term debt-equity ratio </t>
  </si>
  <si>
    <t>Total debt ratio</t>
  </si>
  <si>
    <t>Times interest earned</t>
  </si>
  <si>
    <t>Cash coverage ratio</t>
  </si>
  <si>
    <t>Liquidity Measures</t>
  </si>
  <si>
    <t xml:space="preserve">Net working capital to assets </t>
  </si>
  <si>
    <t>Curren ratio</t>
  </si>
  <si>
    <t>Quick ratio</t>
  </si>
  <si>
    <t>cash ratio</t>
  </si>
  <si>
    <t>Growth Measure</t>
  </si>
  <si>
    <t>Payout ratio</t>
  </si>
  <si>
    <t>Performance Measures</t>
  </si>
  <si>
    <t>GAP</t>
  </si>
  <si>
    <t>AEO</t>
  </si>
  <si>
    <t>R&amp;L</t>
  </si>
  <si>
    <t>IND.AVG</t>
  </si>
  <si>
    <t>Guess</t>
  </si>
  <si>
    <t>Express</t>
  </si>
  <si>
    <t>Total equity</t>
  </si>
  <si>
    <t>Mkt Cap</t>
  </si>
  <si>
    <t>working capital</t>
  </si>
  <si>
    <t>total sales</t>
  </si>
  <si>
    <t>LTD</t>
  </si>
  <si>
    <t>Total Asset</t>
  </si>
  <si>
    <t>TOTAL DEBT</t>
  </si>
  <si>
    <t>TOTAL EQUITY</t>
  </si>
  <si>
    <t>TOTAL CAPITALIZATION</t>
  </si>
  <si>
    <t>EBIT</t>
  </si>
  <si>
    <t>INTEREST PMT</t>
  </si>
  <si>
    <t>Depr.Amor.</t>
  </si>
  <si>
    <t>NA</t>
  </si>
  <si>
    <t>NA (NO INTEREST EXPENSE)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</si>
</sst>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2"/>
      <color theme="1"/>
      <name val="Calibri"/>
      <family val="2"/>
      <scheme val="minor"/>
    </font>
    <font>
      <sz val="14"/>
      <color theme="1"/>
      <name val="Times New Roman"/>
    </font>
    <font>
      <b/>
      <sz val="14"/>
      <color theme="1"/>
      <name val="Times New Roman"/>
    </font>
    <font>
      <sz val="14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3"/>
      <color theme="1"/>
      <name val="Helvetica Neue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164" fontId="4" fillId="2" borderId="1">
      <alignment horizontal="right"/>
    </xf>
    <xf numFmtId="4" fontId="5" fillId="2" borderId="1">
      <alignment horizontal="right"/>
    </xf>
  </cellStyleXfs>
  <cellXfs count="53">
    <xf numFmtId="0" fontId="0" fillId="0" borderId="0" xfId="0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4" fontId="6" fillId="3" borderId="0" xfId="1" applyNumberFormat="1" applyFont="1" applyFill="1" applyBorder="1" applyAlignment="1" applyProtection="1">
      <alignment horizontal="center"/>
    </xf>
    <xf numFmtId="10" fontId="0" fillId="3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164" fontId="0" fillId="4" borderId="0" xfId="0" applyNumberFormat="1" applyFont="1" applyFill="1" applyBorder="1" applyAlignment="1">
      <alignment horizontal="center"/>
    </xf>
    <xf numFmtId="164" fontId="6" fillId="4" borderId="0" xfId="1" applyNumberFormat="1" applyFont="1" applyFill="1" applyBorder="1" applyAlignment="1" applyProtection="1">
      <alignment horizontal="center"/>
    </xf>
    <xf numFmtId="3" fontId="7" fillId="4" borderId="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164" fontId="0" fillId="5" borderId="0" xfId="0" applyNumberFormat="1" applyFont="1" applyFill="1" applyBorder="1" applyAlignment="1">
      <alignment horizontal="center"/>
    </xf>
    <xf numFmtId="164" fontId="6" fillId="5" borderId="0" xfId="1" applyNumberFormat="1" applyFont="1" applyFill="1" applyBorder="1" applyAlignment="1" applyProtection="1">
      <alignment horizontal="center"/>
    </xf>
    <xf numFmtId="0" fontId="3" fillId="6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164" fontId="0" fillId="6" borderId="0" xfId="0" applyNumberFormat="1" applyFont="1" applyFill="1" applyBorder="1" applyAlignment="1">
      <alignment horizontal="center"/>
    </xf>
    <xf numFmtId="164" fontId="6" fillId="6" borderId="0" xfId="1" applyNumberFormat="1" applyFont="1" applyFill="1" applyBorder="1" applyAlignment="1" applyProtection="1">
      <alignment horizontal="center"/>
    </xf>
    <xf numFmtId="0" fontId="3" fillId="7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164" fontId="0" fillId="7" borderId="0" xfId="0" applyNumberFormat="1" applyFont="1" applyFill="1" applyBorder="1" applyAlignment="1">
      <alignment horizontal="center"/>
    </xf>
    <xf numFmtId="164" fontId="6" fillId="7" borderId="0" xfId="1" applyNumberFormat="1" applyFont="1" applyFill="1" applyBorder="1" applyAlignment="1" applyProtection="1">
      <alignment horizontal="center"/>
    </xf>
    <xf numFmtId="0" fontId="3" fillId="8" borderId="0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10" fontId="0" fillId="8" borderId="0" xfId="0" applyNumberFormat="1" applyFont="1" applyFill="1" applyBorder="1" applyAlignment="1">
      <alignment horizontal="center"/>
    </xf>
    <xf numFmtId="3" fontId="0" fillId="8" borderId="0" xfId="0" applyNumberFormat="1" applyFont="1" applyFill="1" applyBorder="1" applyAlignment="1">
      <alignment horizontal="center"/>
    </xf>
    <xf numFmtId="4" fontId="0" fillId="8" borderId="0" xfId="0" applyNumberFormat="1" applyFont="1" applyFill="1" applyBorder="1" applyAlignment="1">
      <alignment horizontal="center"/>
    </xf>
    <xf numFmtId="10" fontId="0" fillId="4" borderId="0" xfId="0" applyNumberFormat="1" applyFont="1" applyFill="1" applyBorder="1" applyAlignment="1">
      <alignment horizontal="center"/>
    </xf>
    <xf numFmtId="10" fontId="0" fillId="5" borderId="0" xfId="0" applyNumberFormat="1" applyFont="1" applyFill="1" applyBorder="1" applyAlignment="1">
      <alignment horizontal="center"/>
    </xf>
    <xf numFmtId="10" fontId="0" fillId="6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10" fontId="0" fillId="7" borderId="0" xfId="0" applyNumberFormat="1" applyFont="1" applyFill="1" applyBorder="1" applyAlignment="1">
      <alignment horizontal="center"/>
    </xf>
    <xf numFmtId="0" fontId="0" fillId="7" borderId="0" xfId="0" applyFont="1" applyFill="1" applyBorder="1" applyAlignment="1">
      <alignment horizontal="left"/>
    </xf>
    <xf numFmtId="0" fontId="0" fillId="9" borderId="0" xfId="0" applyFont="1" applyFill="1" applyBorder="1" applyAlignment="1">
      <alignment horizontal="center"/>
    </xf>
    <xf numFmtId="164" fontId="6" fillId="9" borderId="0" xfId="1" applyNumberFormat="1" applyFont="1" applyFill="1" applyBorder="1" applyAlignment="1" applyProtection="1">
      <alignment horizontal="center"/>
    </xf>
    <xf numFmtId="0" fontId="0" fillId="3" borderId="0" xfId="0" applyNumberFormat="1" applyFont="1" applyFill="1" applyBorder="1" applyAlignment="1">
      <alignment horizontal="center"/>
    </xf>
    <xf numFmtId="10" fontId="6" fillId="4" borderId="0" xfId="2" applyNumberFormat="1" applyFont="1" applyFill="1" applyBorder="1" applyAlignment="1" applyProtection="1">
      <alignment horizontal="center"/>
    </xf>
  </cellXfs>
  <cellStyles count="3">
    <cellStyle name="fa_data_bold_1_grouped" xfId="1"/>
    <cellStyle name="fa_data_standard_2_grouped" xfId="2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zoomScaleNormal="120" zoomScalePageLayoutView="120" workbookViewId="0">
      <pane xSplit="1" topLeftCell="B1" activePane="topRight" state="frozen"/>
      <selection pane="topRight" activeCell="T22" sqref="T22"/>
    </sheetView>
  </sheetViews>
  <sheetFormatPr baseColWidth="10" defaultRowHeight="16" x14ac:dyDescent="0.2"/>
  <cols>
    <col min="1" max="1" width="33.5" style="3" customWidth="1"/>
    <col min="2" max="4" width="10.83203125" style="11"/>
    <col min="5" max="5" width="15" style="16" bestFit="1" customWidth="1"/>
    <col min="6" max="7" width="10.83203125" style="16"/>
    <col min="8" max="10" width="10.83203125" style="21"/>
    <col min="11" max="13" width="10.83203125" style="25"/>
    <col min="14" max="16" width="10.83203125" style="29"/>
    <col min="17" max="19" width="10.83203125" style="33"/>
    <col min="20" max="16384" width="10.83203125" style="3"/>
  </cols>
  <sheetData>
    <row r="1" spans="1:19" s="1" customFormat="1" ht="19" x14ac:dyDescent="0.25">
      <c r="B1" s="40" t="s">
        <v>28</v>
      </c>
      <c r="C1" s="40"/>
      <c r="D1" s="40"/>
      <c r="E1" s="41" t="s">
        <v>32</v>
      </c>
      <c r="F1" s="41"/>
      <c r="G1" s="41"/>
      <c r="H1" s="42" t="s">
        <v>33</v>
      </c>
      <c r="I1" s="42"/>
      <c r="J1" s="42"/>
      <c r="K1" s="43" t="s">
        <v>30</v>
      </c>
      <c r="L1" s="43"/>
      <c r="M1" s="43"/>
      <c r="N1" s="44" t="s">
        <v>29</v>
      </c>
      <c r="O1" s="44"/>
      <c r="P1" s="44"/>
      <c r="Q1" s="45" t="s">
        <v>31</v>
      </c>
      <c r="R1" s="45"/>
      <c r="S1" s="45"/>
    </row>
    <row r="2" spans="1:19" s="1" customFormat="1" ht="19" x14ac:dyDescent="0.25">
      <c r="B2" s="10">
        <v>2015</v>
      </c>
      <c r="C2" s="10">
        <v>2014</v>
      </c>
      <c r="D2" s="10">
        <v>2013</v>
      </c>
      <c r="E2" s="15">
        <v>2015</v>
      </c>
      <c r="F2" s="15">
        <v>2014</v>
      </c>
      <c r="G2" s="15">
        <v>2013</v>
      </c>
      <c r="H2" s="20">
        <v>2015</v>
      </c>
      <c r="I2" s="20">
        <v>2014</v>
      </c>
      <c r="J2" s="20">
        <v>2013</v>
      </c>
      <c r="K2" s="24">
        <v>2015</v>
      </c>
      <c r="L2" s="24">
        <v>2014</v>
      </c>
      <c r="M2" s="24">
        <v>2013</v>
      </c>
      <c r="N2" s="28">
        <v>2015</v>
      </c>
      <c r="O2" s="28">
        <v>2014</v>
      </c>
      <c r="P2" s="28">
        <v>2013</v>
      </c>
      <c r="Q2" s="32">
        <v>2015</v>
      </c>
      <c r="R2" s="32">
        <v>2014</v>
      </c>
      <c r="S2" s="32">
        <v>2013</v>
      </c>
    </row>
    <row r="3" spans="1:19" ht="22" customHeight="1" x14ac:dyDescent="0.2">
      <c r="A3" s="2" t="s">
        <v>27</v>
      </c>
    </row>
    <row r="4" spans="1:19" ht="18" x14ac:dyDescent="0.2">
      <c r="A4" s="4" t="s">
        <v>0</v>
      </c>
      <c r="B4" s="12">
        <f>B5-B6</f>
        <v>7268.84</v>
      </c>
      <c r="C4" s="12">
        <f t="shared" ref="C4:P4" si="0">C5-C6</f>
        <v>14357.990000000002</v>
      </c>
      <c r="D4" s="12">
        <f t="shared" si="0"/>
        <v>13921.68</v>
      </c>
      <c r="E4" s="17">
        <f t="shared" si="0"/>
        <v>535.8061919999999</v>
      </c>
      <c r="F4" s="17">
        <f t="shared" si="0"/>
        <v>528.56883200000016</v>
      </c>
      <c r="G4" s="17">
        <f t="shared" si="0"/>
        <v>1228.693777</v>
      </c>
      <c r="H4" s="22">
        <f t="shared" si="0"/>
        <v>754.40143999999998</v>
      </c>
      <c r="I4" s="22">
        <f t="shared" si="0"/>
        <v>546.31783999999993</v>
      </c>
      <c r="J4" s="22">
        <f t="shared" si="0"/>
        <v>979.69112000000007</v>
      </c>
      <c r="K4" s="26">
        <f t="shared" si="0"/>
        <v>4318.8540000000003</v>
      </c>
      <c r="L4" s="26">
        <f t="shared" si="0"/>
        <v>7433.2860000000001</v>
      </c>
      <c r="M4" s="26">
        <f t="shared" si="0"/>
        <v>10001.888000000001</v>
      </c>
      <c r="N4" s="30">
        <f t="shared" si="0"/>
        <v>1585.8063999999999</v>
      </c>
      <c r="O4" s="30">
        <f t="shared" si="0"/>
        <v>1591.3046400000001</v>
      </c>
      <c r="P4" s="30">
        <f t="shared" si="0"/>
        <v>1447.1059699999998</v>
      </c>
      <c r="Q4" s="49"/>
      <c r="R4" s="49"/>
      <c r="S4" s="49"/>
    </row>
    <row r="5" spans="1:19" hidden="1" x14ac:dyDescent="0.2">
      <c r="A5" s="3" t="s">
        <v>35</v>
      </c>
      <c r="B5" s="13">
        <v>9813.84</v>
      </c>
      <c r="C5" s="13">
        <v>17340.990000000002</v>
      </c>
      <c r="D5" s="13">
        <v>16983.68</v>
      </c>
      <c r="E5" s="18">
        <v>1554.2811919999999</v>
      </c>
      <c r="F5" s="18">
        <v>1602.3688320000001</v>
      </c>
      <c r="G5" s="18">
        <v>2383.193777</v>
      </c>
      <c r="H5" s="23">
        <v>1372.30144</v>
      </c>
      <c r="I5" s="23">
        <v>1102.6178399999999</v>
      </c>
      <c r="J5" s="23">
        <v>1454.2911200000001</v>
      </c>
      <c r="K5" s="27">
        <v>8062.8540000000003</v>
      </c>
      <c r="L5" s="27">
        <v>11324.286</v>
      </c>
      <c r="M5" s="27">
        <v>14035.888000000001</v>
      </c>
      <c r="N5" s="31">
        <v>2637.1763999999998</v>
      </c>
      <c r="O5" s="31">
        <v>2731.0046400000001</v>
      </c>
      <c r="P5" s="31">
        <v>2613.3059699999999</v>
      </c>
      <c r="Q5" s="50">
        <v>2740</v>
      </c>
      <c r="R5" s="49"/>
      <c r="S5" s="49"/>
    </row>
    <row r="6" spans="1:19" ht="18" hidden="1" x14ac:dyDescent="0.2">
      <c r="A6" s="4" t="s">
        <v>34</v>
      </c>
      <c r="B6" s="13">
        <v>2545</v>
      </c>
      <c r="C6" s="13">
        <v>2983</v>
      </c>
      <c r="D6" s="13">
        <v>3062</v>
      </c>
      <c r="E6" s="19">
        <f>1018475000/1000000</f>
        <v>1018.475</v>
      </c>
      <c r="F6" s="18">
        <v>1073.8</v>
      </c>
      <c r="G6" s="18">
        <v>1154.5</v>
      </c>
      <c r="H6" s="23">
        <v>617.9</v>
      </c>
      <c r="I6" s="23">
        <v>556.29999999999995</v>
      </c>
      <c r="J6" s="23">
        <v>474.6</v>
      </c>
      <c r="K6" s="27">
        <v>3744</v>
      </c>
      <c r="L6" s="27">
        <v>3891</v>
      </c>
      <c r="M6" s="27">
        <v>4034</v>
      </c>
      <c r="N6" s="31">
        <v>1051.3699999999999</v>
      </c>
      <c r="O6" s="31">
        <v>1139.7</v>
      </c>
      <c r="P6" s="31">
        <v>1166.2</v>
      </c>
      <c r="Q6" s="49">
        <f>Q25/28</f>
        <v>731.4</v>
      </c>
      <c r="R6" s="49"/>
      <c r="S6" s="49"/>
    </row>
    <row r="7" spans="1:19" ht="18" x14ac:dyDescent="0.2">
      <c r="A7" s="4" t="s">
        <v>1</v>
      </c>
      <c r="B7" s="11">
        <f t="shared" ref="B7:P7" si="1">B5/B6</f>
        <v>3.8561257367387034</v>
      </c>
      <c r="C7" s="11">
        <f t="shared" si="1"/>
        <v>5.8132718739523979</v>
      </c>
      <c r="D7" s="11">
        <f t="shared" si="1"/>
        <v>5.5465969954278247</v>
      </c>
      <c r="E7" s="16">
        <f t="shared" si="1"/>
        <v>1.5260867394879598</v>
      </c>
      <c r="F7" s="16">
        <f t="shared" si="1"/>
        <v>1.492241415533619</v>
      </c>
      <c r="G7" s="16">
        <f t="shared" si="1"/>
        <v>2.0642648566478994</v>
      </c>
      <c r="H7" s="21">
        <f t="shared" si="1"/>
        <v>2.2209118627609645</v>
      </c>
      <c r="I7" s="21">
        <f t="shared" si="1"/>
        <v>1.9820561567499551</v>
      </c>
      <c r="J7" s="21">
        <f t="shared" si="1"/>
        <v>3.0642459334176149</v>
      </c>
      <c r="K7" s="25">
        <f t="shared" si="1"/>
        <v>2.1535400641025642</v>
      </c>
      <c r="L7" s="25">
        <f t="shared" si="1"/>
        <v>2.91037933693138</v>
      </c>
      <c r="M7" s="25">
        <f t="shared" si="1"/>
        <v>3.479397124442241</v>
      </c>
      <c r="N7" s="29">
        <f t="shared" si="1"/>
        <v>2.5083238060815889</v>
      </c>
      <c r="O7" s="29">
        <f t="shared" si="1"/>
        <v>2.3962486970255332</v>
      </c>
      <c r="P7" s="29">
        <f t="shared" si="1"/>
        <v>2.2408728948722345</v>
      </c>
      <c r="Q7" s="49"/>
      <c r="R7" s="49"/>
      <c r="S7" s="49"/>
    </row>
    <row r="8" spans="1:19" ht="18" x14ac:dyDescent="0.2">
      <c r="A8" s="5" t="s">
        <v>2</v>
      </c>
    </row>
    <row r="9" spans="1:19" ht="18" x14ac:dyDescent="0.2">
      <c r="A9" s="4" t="s">
        <v>3</v>
      </c>
      <c r="B9" s="14">
        <v>0.12130000000000001</v>
      </c>
      <c r="C9" s="14">
        <v>0.16239999999999999</v>
      </c>
      <c r="D9" s="14">
        <v>0.1671</v>
      </c>
      <c r="E9" s="37">
        <v>5.213185E-2</v>
      </c>
      <c r="F9" s="37">
        <v>5.6194059999999997E-2</v>
      </c>
      <c r="G9" s="37">
        <v>8.8232770000000002E-2</v>
      </c>
      <c r="H9" s="38">
        <v>9.4849630000000004E-2</v>
      </c>
      <c r="I9" s="38">
        <v>5.553027E-2</v>
      </c>
      <c r="J9" s="38">
        <v>0.10585462</v>
      </c>
      <c r="K9" s="39">
        <v>6.4290929999999996E-2</v>
      </c>
      <c r="L9" s="39">
        <v>0.11513859</v>
      </c>
      <c r="M9" s="39">
        <v>0.1348838</v>
      </c>
      <c r="N9" s="47">
        <v>0.13183913</v>
      </c>
      <c r="O9" s="47">
        <v>4.7372629999999999E-2</v>
      </c>
      <c r="P9" s="47">
        <v>4.8103060000000003E-2</v>
      </c>
      <c r="Q9" s="34">
        <v>0.108</v>
      </c>
      <c r="R9" s="34">
        <v>0.109</v>
      </c>
      <c r="S9" s="34">
        <v>0.13600000000000001</v>
      </c>
    </row>
    <row r="10" spans="1:19" ht="18" x14ac:dyDescent="0.2">
      <c r="A10" s="4" t="s">
        <v>4</v>
      </c>
      <c r="B10" s="14">
        <v>0.22220000000000001</v>
      </c>
      <c r="C10" s="14">
        <v>0.29780000000000001</v>
      </c>
      <c r="D10" s="14">
        <v>0.30649999999999999</v>
      </c>
      <c r="E10" s="37">
        <v>8.0314389999999999E-2</v>
      </c>
      <c r="F10" s="37">
        <v>8.6315439999999993E-2</v>
      </c>
      <c r="G10" s="37">
        <v>0.13816494000000001</v>
      </c>
      <c r="H10" s="38" t="s">
        <v>46</v>
      </c>
      <c r="I10" s="38">
        <v>0.11057697</v>
      </c>
      <c r="J10" s="38">
        <v>0.20633960000000001</v>
      </c>
      <c r="K10" s="39">
        <v>9.258226E-2</v>
      </c>
      <c r="L10" s="39">
        <v>0.16312763</v>
      </c>
      <c r="M10" s="39">
        <v>0.18851049</v>
      </c>
      <c r="N10" s="47">
        <v>0.20107306</v>
      </c>
      <c r="O10" s="47">
        <v>7.8775590000000006E-2</v>
      </c>
      <c r="P10" s="47">
        <v>7.6098479999999996E-2</v>
      </c>
      <c r="Q10" s="34">
        <v>0.19700000000000001</v>
      </c>
      <c r="R10" s="34">
        <v>0.16300000000000001</v>
      </c>
      <c r="S10" s="34">
        <v>0.24099999999999999</v>
      </c>
    </row>
    <row r="11" spans="1:19" ht="18" x14ac:dyDescent="0.2">
      <c r="A11" s="4" t="s">
        <v>5</v>
      </c>
      <c r="B11" s="14">
        <v>0.33289999999999997</v>
      </c>
      <c r="C11" s="14">
        <v>0.29780000000000001</v>
      </c>
      <c r="D11" s="14">
        <v>0.42980000000000002</v>
      </c>
      <c r="E11" s="37">
        <v>7.7730530000000006E-2</v>
      </c>
      <c r="F11" s="37">
        <v>8.4284029999999996E-2</v>
      </c>
      <c r="G11" s="37">
        <v>0.13579352</v>
      </c>
      <c r="H11" s="38">
        <v>0.19843957000000001</v>
      </c>
      <c r="I11" s="38">
        <v>0.13255305000000001</v>
      </c>
      <c r="J11" s="38">
        <v>0.27559354000000003</v>
      </c>
      <c r="K11" s="39">
        <v>0.10373280999999999</v>
      </c>
      <c r="L11" s="39">
        <v>0.17716087999999999</v>
      </c>
      <c r="M11" s="39">
        <v>0.19850101000000001</v>
      </c>
      <c r="N11" s="47">
        <v>0.19911077999999999</v>
      </c>
      <c r="O11" s="47">
        <v>6.9665779999999997E-2</v>
      </c>
      <c r="P11" s="47">
        <v>6.9518490000000002E-2</v>
      </c>
      <c r="Q11" s="34">
        <v>0.22500000000000001</v>
      </c>
      <c r="R11" s="34">
        <v>0.17599999999999999</v>
      </c>
      <c r="S11" s="34">
        <v>0.27900000000000003</v>
      </c>
    </row>
    <row r="12" spans="1:19" s="6" customFormat="1" ht="18" x14ac:dyDescent="0.2">
      <c r="A12" s="7" t="s">
        <v>6</v>
      </c>
      <c r="B12" s="11">
        <v>876.4</v>
      </c>
      <c r="C12" s="11">
        <v>29.78</v>
      </c>
      <c r="D12" s="11">
        <v>744.1</v>
      </c>
      <c r="E12" s="16">
        <v>-105.25</v>
      </c>
      <c r="F12" s="16">
        <v>-15.19</v>
      </c>
      <c r="G12" s="16">
        <v>12.94</v>
      </c>
      <c r="H12" s="21">
        <v>13.28</v>
      </c>
      <c r="I12" s="21">
        <v>64.72</v>
      </c>
      <c r="J12" s="21">
        <v>95.13</v>
      </c>
      <c r="K12" s="25">
        <v>321.02</v>
      </c>
      <c r="L12" s="25">
        <v>198.07</v>
      </c>
      <c r="M12" s="25">
        <v>289.70999999999998</v>
      </c>
      <c r="N12" s="29">
        <v>1.64</v>
      </c>
      <c r="O12" s="29">
        <v>56.47</v>
      </c>
      <c r="P12" s="29">
        <v>96.47</v>
      </c>
      <c r="Q12" s="49"/>
      <c r="R12" s="49"/>
      <c r="S12" s="49"/>
    </row>
    <row r="13" spans="1:19" ht="18" x14ac:dyDescent="0.2">
      <c r="A13" s="4" t="s">
        <v>7</v>
      </c>
      <c r="B13" s="14">
        <v>9.6500000000000002E-2</v>
      </c>
      <c r="C13" s="14">
        <v>0.29780000000000001</v>
      </c>
      <c r="D13" s="14">
        <v>0.1331</v>
      </c>
      <c r="E13" s="37">
        <v>5.5051219999999998E-2</v>
      </c>
      <c r="F13" s="37">
        <v>5.2079830000000001E-2</v>
      </c>
      <c r="G13" s="37">
        <v>8.6616940000000003E-2</v>
      </c>
      <c r="H13" s="38">
        <v>8.8181540000000003E-2</v>
      </c>
      <c r="I13" s="38">
        <v>6.3079289999999996E-2</v>
      </c>
      <c r="J13" s="38">
        <v>9.6551120000000004E-2</v>
      </c>
      <c r="K13" s="39">
        <v>7.8595540000000005E-2</v>
      </c>
      <c r="L13" s="39">
        <v>0.13582677000000001</v>
      </c>
      <c r="M13" s="39">
        <v>0.15167785</v>
      </c>
      <c r="N13" s="47">
        <v>9.0826749999999998E-2</v>
      </c>
      <c r="O13" s="47">
        <v>4.7447860000000001E-2</v>
      </c>
      <c r="P13" s="47">
        <v>4.2668919999999999E-2</v>
      </c>
      <c r="Q13" s="34">
        <v>5.7999999999999996E-2</v>
      </c>
      <c r="R13" s="34">
        <v>5.7000000000000002E-2</v>
      </c>
      <c r="S13" s="34">
        <v>7.0999999999999994E-2</v>
      </c>
    </row>
    <row r="14" spans="1:19" ht="18" hidden="1" x14ac:dyDescent="0.2">
      <c r="A14" s="4" t="s">
        <v>37</v>
      </c>
      <c r="Q14" s="35">
        <v>119866</v>
      </c>
      <c r="R14" s="35">
        <v>119628</v>
      </c>
      <c r="S14" s="35">
        <v>114770</v>
      </c>
    </row>
    <row r="15" spans="1:19" ht="18" hidden="1" x14ac:dyDescent="0.2">
      <c r="A15" s="4" t="s">
        <v>36</v>
      </c>
      <c r="Q15" s="33">
        <v>13423.3</v>
      </c>
      <c r="R15" s="33">
        <v>14188.3</v>
      </c>
      <c r="S15" s="33">
        <v>13757.7</v>
      </c>
    </row>
    <row r="16" spans="1:19" ht="18" hidden="1" x14ac:dyDescent="0.2">
      <c r="A16" s="4" t="s">
        <v>39</v>
      </c>
      <c r="Q16" s="33">
        <v>58188.4</v>
      </c>
      <c r="R16" s="33">
        <v>59072.4</v>
      </c>
      <c r="S16" s="33">
        <v>55751.5</v>
      </c>
    </row>
    <row r="17" spans="1:19" ht="18" x14ac:dyDescent="0.2">
      <c r="A17" s="5" t="s">
        <v>8</v>
      </c>
    </row>
    <row r="18" spans="1:19" s="6" customFormat="1" ht="18" x14ac:dyDescent="0.2">
      <c r="A18" s="7" t="s">
        <v>9</v>
      </c>
      <c r="B18" s="11">
        <f>16148/7849</f>
        <v>2.0573321442221939</v>
      </c>
      <c r="C18" s="11">
        <f>16435/7690</f>
        <v>2.1371911573472042</v>
      </c>
      <c r="D18" s="11">
        <f>15797/7473</f>
        <v>2.1138766225076941</v>
      </c>
      <c r="E18" s="16">
        <v>1.4039509999999999</v>
      </c>
      <c r="F18" s="16">
        <v>1.436596</v>
      </c>
      <c r="G18" s="16">
        <v>1.477765</v>
      </c>
      <c r="H18" s="21">
        <v>1.9131670000000001</v>
      </c>
      <c r="I18" s="21">
        <v>1.7599670000000001</v>
      </c>
      <c r="J18" s="21">
        <v>2.0156740000000002</v>
      </c>
      <c r="K18" s="25">
        <v>1.2022079999999999</v>
      </c>
      <c r="L18" s="25">
        <v>1.249795</v>
      </c>
      <c r="M18" s="25">
        <v>1.2949539999999999</v>
      </c>
      <c r="N18" s="29">
        <v>2.128549</v>
      </c>
      <c r="O18" s="29">
        <v>1.9361820000000001</v>
      </c>
      <c r="P18" s="29">
        <v>1.9162859999999999</v>
      </c>
      <c r="Q18" s="33">
        <v>1.7</v>
      </c>
      <c r="R18" s="33">
        <v>1.7</v>
      </c>
      <c r="S18" s="33">
        <v>1.7</v>
      </c>
    </row>
    <row r="19" spans="1:19" s="6" customFormat="1" ht="18" x14ac:dyDescent="0.2">
      <c r="A19" s="7" t="s">
        <v>10</v>
      </c>
      <c r="B19" s="11">
        <v>56.72</v>
      </c>
      <c r="C19" s="11">
        <v>44.6</v>
      </c>
      <c r="D19" s="11">
        <v>40.729999999999997</v>
      </c>
      <c r="E19" s="16">
        <v>11.388227000000001</v>
      </c>
      <c r="F19" s="16">
        <v>10.195494999999999</v>
      </c>
      <c r="G19" s="16">
        <v>8.5440799999999992</v>
      </c>
      <c r="H19" s="21">
        <v>103.525351</v>
      </c>
      <c r="I19" s="21">
        <v>106.527007</v>
      </c>
      <c r="J19" s="21">
        <v>156.23239899999999</v>
      </c>
      <c r="K19" s="25">
        <v>12.636519</v>
      </c>
      <c r="L19" s="25">
        <v>12.26066</v>
      </c>
      <c r="M19" s="25">
        <v>14.24338</v>
      </c>
      <c r="N19" s="29">
        <v>47.334758000000001</v>
      </c>
      <c r="O19" s="29">
        <v>46.310617000000001</v>
      </c>
      <c r="P19" s="29">
        <v>55.003652000000002</v>
      </c>
      <c r="Q19" s="33">
        <v>85.3</v>
      </c>
      <c r="R19" s="33">
        <v>94.3</v>
      </c>
      <c r="S19" s="33">
        <v>85.4</v>
      </c>
    </row>
    <row r="20" spans="1:19" s="6" customFormat="1" ht="18" x14ac:dyDescent="0.2">
      <c r="A20" s="7" t="s">
        <v>11</v>
      </c>
      <c r="B20" s="11">
        <v>6.42</v>
      </c>
      <c r="C20" s="11">
        <v>8.16</v>
      </c>
      <c r="D20" s="11">
        <v>8.94</v>
      </c>
      <c r="E20" s="16">
        <v>31.962831999999999</v>
      </c>
      <c r="F20" s="16">
        <v>35.702043000000003</v>
      </c>
      <c r="G20" s="16">
        <v>42.602595000000001</v>
      </c>
      <c r="H20" s="21">
        <v>3.5160469999999999</v>
      </c>
      <c r="I20" s="21">
        <v>3.4169740000000002</v>
      </c>
      <c r="J20" s="21">
        <v>2.3298619999999999</v>
      </c>
      <c r="K20" s="25">
        <v>29.359352000000001</v>
      </c>
      <c r="L20" s="25">
        <v>29.688451000000001</v>
      </c>
      <c r="M20" s="25">
        <v>25.555731999999999</v>
      </c>
      <c r="N20" s="29">
        <v>7.6899090000000001</v>
      </c>
      <c r="O20" s="29">
        <v>7.8599690000000004</v>
      </c>
      <c r="P20" s="29">
        <v>6.6177419999999998</v>
      </c>
      <c r="Q20" s="33">
        <f>360*1/Q19</f>
        <v>4.2203985932004695</v>
      </c>
      <c r="R20" s="33">
        <f t="shared" ref="R20:S20" si="2">360*1/R19</f>
        <v>3.8176033934252387</v>
      </c>
      <c r="S20" s="33">
        <f t="shared" si="2"/>
        <v>4.2154566744730673</v>
      </c>
    </row>
    <row r="21" spans="1:19" s="6" customFormat="1" ht="18" x14ac:dyDescent="0.2">
      <c r="A21" s="7" t="s">
        <v>12</v>
      </c>
      <c r="B21" s="11">
        <v>5.36</v>
      </c>
      <c r="C21" s="11">
        <v>5.32</v>
      </c>
      <c r="D21" s="11">
        <v>5.35</v>
      </c>
      <c r="E21" s="16">
        <v>4.4924590000000002</v>
      </c>
      <c r="F21" s="16">
        <v>4.6263920000000001</v>
      </c>
      <c r="G21" s="16">
        <v>4.4230580000000002</v>
      </c>
      <c r="H21" s="21">
        <v>6.264348</v>
      </c>
      <c r="I21" s="21">
        <v>6.634112</v>
      </c>
      <c r="J21" s="21">
        <v>7.0226660000000001</v>
      </c>
      <c r="K21" s="25">
        <v>2.970005</v>
      </c>
      <c r="L21" s="25">
        <v>3.14452</v>
      </c>
      <c r="M21" s="25">
        <v>3.2774909999999999</v>
      </c>
      <c r="N21" s="29">
        <v>7.5977540000000001</v>
      </c>
      <c r="O21" s="29">
        <v>7.460629</v>
      </c>
      <c r="P21" s="29">
        <v>7.0250880000000002</v>
      </c>
      <c r="Q21" s="33">
        <v>4.7</v>
      </c>
      <c r="R21" s="33">
        <v>4.8</v>
      </c>
      <c r="S21" s="33">
        <v>4.8</v>
      </c>
    </row>
    <row r="22" spans="1:19" s="6" customFormat="1" ht="18" x14ac:dyDescent="0.2">
      <c r="A22" s="7" t="s">
        <v>13</v>
      </c>
      <c r="B22" s="11">
        <v>67.95</v>
      </c>
      <c r="C22" s="11">
        <v>68.47</v>
      </c>
      <c r="D22" s="11">
        <v>68.069999999999993</v>
      </c>
      <c r="E22" s="16">
        <v>81.024675999999999</v>
      </c>
      <c r="F22" s="16">
        <v>78.679028000000002</v>
      </c>
      <c r="G22" s="16">
        <v>82.296010999999993</v>
      </c>
      <c r="H22" s="21">
        <v>51.832163999999999</v>
      </c>
      <c r="I22" s="21">
        <v>54.867933000000001</v>
      </c>
      <c r="J22" s="21">
        <v>58.106602000000002</v>
      </c>
      <c r="K22" s="25">
        <v>124.915631</v>
      </c>
      <c r="L22" s="25">
        <v>115.75694</v>
      </c>
      <c r="M22" s="25">
        <v>111.06057300000001</v>
      </c>
      <c r="N22" s="29">
        <v>47.908895000000001</v>
      </c>
      <c r="O22" s="29">
        <v>48.789450000000002</v>
      </c>
      <c r="P22" s="29">
        <v>51.814293999999997</v>
      </c>
      <c r="Q22" s="33">
        <v>93.7</v>
      </c>
      <c r="R22" s="33">
        <v>90.7</v>
      </c>
      <c r="S22" s="33">
        <v>90.9</v>
      </c>
    </row>
    <row r="23" spans="1:19" ht="18" x14ac:dyDescent="0.2">
      <c r="A23" s="5" t="s">
        <v>14</v>
      </c>
    </row>
    <row r="24" spans="1:19" ht="18" hidden="1" x14ac:dyDescent="0.2">
      <c r="A24" s="4" t="s">
        <v>38</v>
      </c>
      <c r="Q24" s="36">
        <v>13995.7</v>
      </c>
      <c r="R24" s="33">
        <v>12920.2</v>
      </c>
      <c r="S24" s="33">
        <v>10485.5</v>
      </c>
    </row>
    <row r="25" spans="1:19" ht="18" hidden="1" x14ac:dyDescent="0.2">
      <c r="A25" s="4" t="s">
        <v>41</v>
      </c>
      <c r="Q25" s="36">
        <v>20479.2</v>
      </c>
      <c r="R25" s="33">
        <v>23366.7</v>
      </c>
      <c r="S25" s="33">
        <v>23341.9</v>
      </c>
    </row>
    <row r="26" spans="1:19" ht="18" hidden="1" x14ac:dyDescent="0.2">
      <c r="A26" s="4" t="s">
        <v>40</v>
      </c>
      <c r="Q26" s="36">
        <v>2067.1999999999998</v>
      </c>
      <c r="R26" s="33">
        <v>2538</v>
      </c>
      <c r="S26" s="33">
        <v>1985</v>
      </c>
    </row>
    <row r="27" spans="1:19" ht="18" hidden="1" x14ac:dyDescent="0.2">
      <c r="A27" s="4" t="s">
        <v>42</v>
      </c>
      <c r="Q27" s="36">
        <f>Q24+Q25</f>
        <v>34474.9</v>
      </c>
      <c r="R27" s="36">
        <f t="shared" ref="R27:S27" si="3">R24+R25</f>
        <v>36286.9</v>
      </c>
      <c r="S27" s="36">
        <f t="shared" si="3"/>
        <v>33827.4</v>
      </c>
    </row>
    <row r="28" spans="1:19" ht="18" hidden="1" x14ac:dyDescent="0.2">
      <c r="A28" s="4" t="s">
        <v>43</v>
      </c>
      <c r="Q28" s="36">
        <v>10258.9</v>
      </c>
      <c r="R28" s="36">
        <v>11737.8</v>
      </c>
      <c r="S28" s="36">
        <v>11373</v>
      </c>
    </row>
    <row r="29" spans="1:19" ht="18" hidden="1" x14ac:dyDescent="0.2">
      <c r="A29" s="4" t="s">
        <v>44</v>
      </c>
      <c r="Q29" s="36">
        <v>7061.3</v>
      </c>
      <c r="R29" s="36">
        <v>7050.4</v>
      </c>
      <c r="S29" s="36">
        <v>6033.6</v>
      </c>
    </row>
    <row r="30" spans="1:19" ht="18" hidden="1" x14ac:dyDescent="0.2">
      <c r="A30" s="4" t="s">
        <v>45</v>
      </c>
      <c r="Q30" s="36">
        <v>3765.9</v>
      </c>
      <c r="R30" s="36">
        <v>3617.6</v>
      </c>
      <c r="S30" s="36">
        <v>3374.8</v>
      </c>
    </row>
    <row r="31" spans="1:19" s="6" customFormat="1" ht="18" x14ac:dyDescent="0.2">
      <c r="A31" s="7" t="s">
        <v>15</v>
      </c>
      <c r="B31" s="14">
        <v>0.30640000000000001</v>
      </c>
      <c r="C31" s="14">
        <v>0.30719999999999997</v>
      </c>
      <c r="D31" s="14">
        <v>0.30719999999999997</v>
      </c>
      <c r="E31" s="37">
        <v>0.63828600000000002</v>
      </c>
      <c r="F31" s="37">
        <v>0.559643</v>
      </c>
      <c r="G31" s="37">
        <v>0.22226799999999999</v>
      </c>
      <c r="H31" s="38">
        <v>0.10122856</v>
      </c>
      <c r="I31" s="38">
        <v>0.32709012999999998</v>
      </c>
      <c r="J31" s="38">
        <v>0.29561893</v>
      </c>
      <c r="K31" s="39">
        <v>0.1339466</v>
      </c>
      <c r="L31" s="39">
        <v>6.7375080000000004E-2</v>
      </c>
      <c r="M31" s="39">
        <v>6.8790400000000002E-2</v>
      </c>
      <c r="N31" s="29">
        <v>0</v>
      </c>
      <c r="O31" s="29">
        <v>0</v>
      </c>
      <c r="P31" s="29">
        <v>0</v>
      </c>
      <c r="Q31" s="33">
        <f>Q24/Q27</f>
        <v>0.40596782006619309</v>
      </c>
      <c r="R31" s="33">
        <f t="shared" ref="R31:S31" si="4">R24/R27</f>
        <v>0.35605686900782374</v>
      </c>
      <c r="S31" s="33">
        <f t="shared" si="4"/>
        <v>0.30997061553651772</v>
      </c>
    </row>
    <row r="32" spans="1:19" s="6" customFormat="1" ht="18" x14ac:dyDescent="0.2">
      <c r="A32" s="7" t="s">
        <v>16</v>
      </c>
      <c r="B32" s="14">
        <v>0.51470000000000005</v>
      </c>
      <c r="C32" s="14">
        <v>0.44650000000000001</v>
      </c>
      <c r="D32" s="14">
        <v>0.4471</v>
      </c>
      <c r="E32" s="37">
        <v>0.22362799999999999</v>
      </c>
      <c r="F32" s="37">
        <v>0.56358900000000001</v>
      </c>
      <c r="G32" s="37">
        <v>0.64465899999999998</v>
      </c>
      <c r="H32" s="38">
        <v>0.11262991999999999</v>
      </c>
      <c r="I32" s="38">
        <v>0.48608312999999997</v>
      </c>
      <c r="J32" s="38">
        <v>0.41968607000000002</v>
      </c>
      <c r="K32" s="39">
        <v>0.15945513</v>
      </c>
      <c r="L32" s="39">
        <v>7.6587000000000002E-2</v>
      </c>
      <c r="M32" s="39">
        <v>7.3872090000000001E-2</v>
      </c>
      <c r="N32" s="29">
        <v>0</v>
      </c>
      <c r="O32" s="29">
        <v>0</v>
      </c>
      <c r="P32" s="29">
        <v>0</v>
      </c>
      <c r="Q32" s="33">
        <f>Q24/Q25</f>
        <v>0.6834104847845619</v>
      </c>
      <c r="R32" s="33">
        <f t="shared" ref="R32:S32" si="5">R24/R25</f>
        <v>0.55293216414812529</v>
      </c>
      <c r="S32" s="33">
        <f t="shared" si="5"/>
        <v>0.4492136458471675</v>
      </c>
    </row>
    <row r="33" spans="1:19" s="6" customFormat="1" ht="18" x14ac:dyDescent="0.2">
      <c r="A33" s="7" t="s">
        <v>17</v>
      </c>
      <c r="B33" s="14">
        <v>0.2316</v>
      </c>
      <c r="C33" s="14">
        <v>0.1759</v>
      </c>
      <c r="D33" s="14">
        <v>0.17760000000000001</v>
      </c>
      <c r="E33" s="37">
        <v>0.41215299999999999</v>
      </c>
      <c r="F33" s="37">
        <v>0.48164000000000001</v>
      </c>
      <c r="G33" s="37">
        <v>0.66537000000000002</v>
      </c>
      <c r="H33" s="38">
        <v>5.9050909999999998E-2</v>
      </c>
      <c r="I33" s="38">
        <v>0.21157688999999999</v>
      </c>
      <c r="J33" s="38">
        <v>0.16840707999999999</v>
      </c>
      <c r="K33" s="39">
        <v>0.11475937999999999</v>
      </c>
      <c r="L33" s="39">
        <v>8.7127419999999997E-2</v>
      </c>
      <c r="M33" s="39">
        <v>4.8948749999999999E-2</v>
      </c>
      <c r="N33" s="29">
        <v>0</v>
      </c>
      <c r="O33" s="29">
        <v>0</v>
      </c>
      <c r="P33" s="29">
        <v>0</v>
      </c>
      <c r="Q33" s="33">
        <f>Q26/Q16</f>
        <v>3.5525981123385411E-2</v>
      </c>
      <c r="R33" s="33">
        <f>R26/R16</f>
        <v>4.2964226948625756E-2</v>
      </c>
      <c r="S33" s="33">
        <f>S26/S16</f>
        <v>3.5604423199375804E-2</v>
      </c>
    </row>
    <row r="34" spans="1:19" s="6" customFormat="1" ht="18" x14ac:dyDescent="0.2">
      <c r="A34" s="7" t="s">
        <v>18</v>
      </c>
      <c r="B34" s="51">
        <v>25.83</v>
      </c>
      <c r="C34" s="11">
        <v>27.77</v>
      </c>
      <c r="D34" s="11">
        <v>35.229999999999997</v>
      </c>
      <c r="E34" s="16">
        <v>62.135176999999999</v>
      </c>
      <c r="F34" s="16">
        <v>53.127426</v>
      </c>
      <c r="G34" s="16">
        <v>115.74987</v>
      </c>
      <c r="H34" s="21" t="s">
        <v>46</v>
      </c>
      <c r="I34" s="21">
        <v>5.7163120000000003</v>
      </c>
      <c r="J34" s="21">
        <v>10.975258999999999</v>
      </c>
      <c r="K34" s="25">
        <v>27.714286000000001</v>
      </c>
      <c r="L34" s="25">
        <v>60.882353000000002</v>
      </c>
      <c r="M34" s="25">
        <v>56.5</v>
      </c>
      <c r="N34" s="48" t="s">
        <v>47</v>
      </c>
      <c r="O34" s="29"/>
      <c r="P34" s="29"/>
      <c r="Q34" s="33">
        <f>Q28/Q29</f>
        <v>1.4528344639089119</v>
      </c>
      <c r="R34" s="33">
        <f t="shared" ref="R34:S34" si="6">R28/R29</f>
        <v>1.6648417111085896</v>
      </c>
      <c r="S34" s="33">
        <f t="shared" si="6"/>
        <v>1.8849443118536195</v>
      </c>
    </row>
    <row r="35" spans="1:19" s="6" customFormat="1" ht="18" x14ac:dyDescent="0.2">
      <c r="A35" s="7" t="s">
        <v>19</v>
      </c>
      <c r="B35" s="11">
        <v>35.86</v>
      </c>
      <c r="C35" s="11">
        <v>35.29</v>
      </c>
      <c r="D35" s="11">
        <v>42.93</v>
      </c>
      <c r="E35" s="16">
        <v>98.327701000000005</v>
      </c>
      <c r="F35" s="16">
        <v>89.017722000000006</v>
      </c>
      <c r="G35" s="16">
        <v>161.703588</v>
      </c>
      <c r="H35" s="21" t="s">
        <v>46</v>
      </c>
      <c r="I35" s="21">
        <v>8.9150489999999998</v>
      </c>
      <c r="J35" s="21">
        <v>14.551223999999999</v>
      </c>
      <c r="K35" s="25">
        <v>42.476190000000003</v>
      </c>
      <c r="L35" s="25">
        <v>78.176471000000006</v>
      </c>
      <c r="M35" s="25">
        <v>69.400000000000006</v>
      </c>
      <c r="N35" s="48" t="s">
        <v>47</v>
      </c>
      <c r="O35" s="29"/>
      <c r="P35" s="29"/>
      <c r="Q35" s="33">
        <f>(Q28+Q30)/Q29</f>
        <v>1.986149859091102</v>
      </c>
      <c r="R35" s="33">
        <f t="shared" ref="R35:S35" si="7">(R28+R30)/R29</f>
        <v>2.1779473505049358</v>
      </c>
      <c r="S35" s="33">
        <f t="shared" si="7"/>
        <v>2.4442787059135505</v>
      </c>
    </row>
    <row r="36" spans="1:19" s="6" customFormat="1" ht="18" x14ac:dyDescent="0.2">
      <c r="A36" s="9" t="s">
        <v>20</v>
      </c>
      <c r="B36" s="11"/>
      <c r="C36" s="11"/>
      <c r="D36" s="11"/>
      <c r="E36" s="16"/>
      <c r="F36" s="16"/>
      <c r="G36" s="16"/>
      <c r="H36" s="21"/>
      <c r="I36" s="21"/>
      <c r="J36" s="21"/>
      <c r="K36" s="25"/>
      <c r="L36" s="25"/>
      <c r="M36" s="25"/>
      <c r="N36" s="29"/>
      <c r="O36" s="29"/>
      <c r="P36" s="29"/>
      <c r="Q36" s="33"/>
      <c r="R36" s="33"/>
      <c r="S36" s="33"/>
    </row>
    <row r="37" spans="1:19" s="8" customFormat="1" ht="18" x14ac:dyDescent="0.2">
      <c r="A37" s="46" t="s">
        <v>21</v>
      </c>
      <c r="B37" s="14">
        <f>(1370+1873)/7473</f>
        <v>0.43396226415094341</v>
      </c>
      <c r="C37" s="14">
        <f>(1515+1889)/7690</f>
        <v>0.44265279583875161</v>
      </c>
      <c r="D37" s="14">
        <f>(1510+1928)/7849</f>
        <v>0.43801758185756146</v>
      </c>
      <c r="E37" s="37">
        <f>(445.48+222.359+311.704)/1538.748</f>
        <v>0.63658441798137189</v>
      </c>
      <c r="F37" s="37">
        <f>(483.483+216.205+319.078)/1601.405</f>
        <v>0.63617011311941696</v>
      </c>
      <c r="G37" s="37">
        <f>(502.945+300.965+350.899)/1764.431</f>
        <v>0.65449371497100195</v>
      </c>
      <c r="H37" s="38">
        <f>(186.903+22.13+255.35)/1178.644</f>
        <v>0.39399767868839103</v>
      </c>
      <c r="I37" s="38">
        <f>(654.236-43.742)/1278.15</f>
        <v>0.47763877479169109</v>
      </c>
      <c r="J37" s="38">
        <f>(583.461-41.683)/1182.67</f>
        <v>0.45809735598264939</v>
      </c>
      <c r="K37" s="39">
        <f>(456+575+1125)/6213</f>
        <v>0.34701432480283279</v>
      </c>
      <c r="L37" s="39">
        <f>(500+857+1042)/6106</f>
        <v>0.39289223714379301</v>
      </c>
      <c r="M37" s="39">
        <f>(797+800+1020)/6088</f>
        <v>0.42986202365308807</v>
      </c>
      <c r="N37" s="47">
        <f>(723.735-77.218)/1612.246</f>
        <v>0.4010039410859137</v>
      </c>
      <c r="O37" s="47">
        <f>(828.04-70.477)/1696.908</f>
        <v>0.44643728475556721</v>
      </c>
      <c r="P37" s="47">
        <f>(927.991-88.155)/1694.164</f>
        <v>0.49572296424667273</v>
      </c>
      <c r="Q37" s="34">
        <f>Q15/Q16</f>
        <v>0.23068687229757132</v>
      </c>
      <c r="R37" s="34">
        <f t="shared" ref="R37:S37" si="8">R15/R16</f>
        <v>0.24018492561670085</v>
      </c>
      <c r="S37" s="34">
        <f t="shared" si="8"/>
        <v>0.24676824838793576</v>
      </c>
    </row>
    <row r="38" spans="1:19" s="6" customFormat="1" ht="18" x14ac:dyDescent="0.2">
      <c r="A38" s="7" t="s">
        <v>22</v>
      </c>
      <c r="B38" s="11">
        <v>1.57</v>
      </c>
      <c r="C38" s="11">
        <v>1.93</v>
      </c>
      <c r="D38" s="11">
        <v>1.81</v>
      </c>
      <c r="E38" s="16">
        <v>3.1683949999999999</v>
      </c>
      <c r="F38" s="16">
        <v>3.6172909999999998</v>
      </c>
      <c r="G38" s="16">
        <v>3.2864969999999998</v>
      </c>
      <c r="H38" s="21">
        <v>1.6701820000000001</v>
      </c>
      <c r="I38" s="21">
        <v>2.275928</v>
      </c>
      <c r="J38" s="21">
        <v>1.9500249999999999</v>
      </c>
      <c r="K38" s="25">
        <v>2.5484140000000002</v>
      </c>
      <c r="L38" s="25">
        <v>2.8026979999999999</v>
      </c>
      <c r="M38" s="25">
        <v>3.431959</v>
      </c>
      <c r="N38" s="29">
        <v>1.5600670000000001</v>
      </c>
      <c r="O38" s="29">
        <v>1.8036430000000001</v>
      </c>
      <c r="P38" s="29">
        <v>2.2228850000000002</v>
      </c>
      <c r="Q38" s="33">
        <v>2.2999999999999998</v>
      </c>
      <c r="R38" s="33">
        <v>2.5</v>
      </c>
      <c r="S38" s="33">
        <v>2.5</v>
      </c>
    </row>
    <row r="39" spans="1:19" s="6" customFormat="1" ht="18" x14ac:dyDescent="0.2">
      <c r="A39" s="7" t="s">
        <v>23</v>
      </c>
      <c r="B39" s="11">
        <v>0.65</v>
      </c>
      <c r="C39" s="11">
        <v>0.8</v>
      </c>
      <c r="D39" s="11">
        <v>0.81</v>
      </c>
      <c r="E39" s="16">
        <v>1.941249</v>
      </c>
      <c r="F39" s="16">
        <v>2.2558199999999999</v>
      </c>
      <c r="G39" s="16">
        <v>2.1204860000000001</v>
      </c>
      <c r="H39" s="21">
        <v>0.67999699999999996</v>
      </c>
      <c r="I39" s="21">
        <v>1.285161</v>
      </c>
      <c r="J39" s="21">
        <v>1.1004689999999999</v>
      </c>
      <c r="K39" s="25">
        <v>1.337229</v>
      </c>
      <c r="L39" s="25">
        <v>1.5168630000000001</v>
      </c>
      <c r="M39" s="25">
        <v>1.930928</v>
      </c>
      <c r="N39" s="29">
        <v>0.73537300000000005</v>
      </c>
      <c r="O39" s="29">
        <v>1.0424709999999999</v>
      </c>
      <c r="P39" s="29">
        <v>1.210213</v>
      </c>
      <c r="Q39" s="33">
        <v>0.9</v>
      </c>
      <c r="R39" s="33">
        <v>1.1000000000000001</v>
      </c>
      <c r="S39" s="33">
        <v>1.2</v>
      </c>
    </row>
    <row r="40" spans="1:19" s="6" customFormat="1" ht="18" x14ac:dyDescent="0.2">
      <c r="A40" s="7" t="s">
        <v>24</v>
      </c>
      <c r="B40" s="11">
        <v>0.54</v>
      </c>
      <c r="C40" s="11">
        <v>0.68</v>
      </c>
      <c r="D40" s="11">
        <v>0.62</v>
      </c>
      <c r="E40" s="16">
        <v>1.3620779999999999</v>
      </c>
      <c r="F40" s="16">
        <v>1.6011169999999999</v>
      </c>
      <c r="G40" s="16">
        <v>1.3730640000000001</v>
      </c>
      <c r="H40" s="21">
        <v>0.60800600000000005</v>
      </c>
      <c r="I40" s="21">
        <v>1.2042029999999999</v>
      </c>
      <c r="J40" s="21">
        <v>1.0423690000000001</v>
      </c>
      <c r="K40" s="25">
        <v>0.90567600000000004</v>
      </c>
      <c r="L40" s="25">
        <v>0.96458699999999997</v>
      </c>
      <c r="M40" s="25">
        <v>1.3247420000000001</v>
      </c>
      <c r="N40" s="29">
        <v>0.56087399999999998</v>
      </c>
      <c r="O40" s="29">
        <v>0.89458300000000002</v>
      </c>
      <c r="P40" s="29">
        <v>1.032389</v>
      </c>
      <c r="Q40" s="33">
        <v>0.8</v>
      </c>
      <c r="R40" s="33">
        <v>0.9</v>
      </c>
      <c r="S40" s="33">
        <v>1</v>
      </c>
    </row>
    <row r="41" spans="1:19" ht="18" x14ac:dyDescent="0.2">
      <c r="A41" s="5" t="s">
        <v>25</v>
      </c>
    </row>
    <row r="42" spans="1:19" ht="18" x14ac:dyDescent="0.2">
      <c r="A42" s="4" t="s">
        <v>26</v>
      </c>
      <c r="B42" s="14">
        <v>0.4098</v>
      </c>
      <c r="C42" s="14">
        <v>0.30349999999999999</v>
      </c>
      <c r="D42" s="14">
        <v>0.25080000000000002</v>
      </c>
      <c r="E42" s="52">
        <v>0.93259386</v>
      </c>
      <c r="F42" s="52">
        <v>0.81083187999999995</v>
      </c>
      <c r="G42" s="52">
        <v>0.44297494999999998</v>
      </c>
      <c r="H42" s="21">
        <v>0</v>
      </c>
      <c r="I42" s="21">
        <v>0</v>
      </c>
      <c r="J42" s="21">
        <v>0</v>
      </c>
      <c r="K42" s="39">
        <v>0.43030302999999998</v>
      </c>
      <c r="L42" s="39">
        <v>0.2324359</v>
      </c>
      <c r="M42" s="39">
        <v>0.19869845</v>
      </c>
      <c r="N42" s="47">
        <v>0.45561697000000001</v>
      </c>
      <c r="O42" s="47">
        <v>1.0959036799999999</v>
      </c>
      <c r="P42" s="47">
        <v>0.85336756000000002</v>
      </c>
      <c r="Q42" s="49"/>
      <c r="R42" s="49"/>
      <c r="S42" s="49"/>
    </row>
    <row r="43" spans="1:19" ht="18" x14ac:dyDescent="0.2">
      <c r="A43" s="4"/>
    </row>
  </sheetData>
  <mergeCells count="6">
    <mergeCell ref="B1:D1"/>
    <mergeCell ref="E1:G1"/>
    <mergeCell ref="H1:J1"/>
    <mergeCell ref="K1:M1"/>
    <mergeCell ref="N1:P1"/>
    <mergeCell ref="Q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