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45" yWindow="360" windowWidth="20730" windowHeight="11760"/>
  </bookViews>
  <sheets>
    <sheet name="Apple DCF" sheetId="1" r:id="rId1"/>
    <sheet name="Sheet2" sheetId="2" r:id="rId2"/>
    <sheet name="Sheet3" sheetId="3" r:id="rId3"/>
  </sheets>
  <definedNames>
    <definedName name="_xlnm.Print_Area" localSheetId="0">'Apple DCF'!$A$1:$U$47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28" i="1" l="1"/>
  <c r="M28" i="1" s="1"/>
  <c r="N28" i="1" s="1"/>
  <c r="O28" i="1" s="1"/>
  <c r="P28" i="1" s="1"/>
  <c r="Q28" i="1" s="1"/>
  <c r="R28" i="1" s="1"/>
  <c r="S28" i="1" s="1"/>
  <c r="T28" i="1" s="1"/>
  <c r="K28" i="1"/>
  <c r="I1" i="1"/>
  <c r="J1" i="1"/>
  <c r="I18" i="1"/>
  <c r="H30" i="1" l="1"/>
  <c r="H16" i="1"/>
  <c r="H13" i="1" l="1"/>
  <c r="H18" i="1" s="1"/>
  <c r="H6" i="1"/>
  <c r="H7" i="1" s="1"/>
  <c r="D1" i="1"/>
  <c r="E1" i="1"/>
  <c r="F1" i="1"/>
  <c r="G1" i="1"/>
  <c r="G6" i="1"/>
  <c r="G7" i="1" s="1"/>
  <c r="C6" i="1"/>
  <c r="C13" i="1" s="1"/>
  <c r="C18" i="1" s="1"/>
  <c r="C22" i="1" s="1"/>
  <c r="C34" i="1" s="1"/>
  <c r="D6" i="1"/>
  <c r="D13" i="1"/>
  <c r="D18" i="1"/>
  <c r="D22" i="1"/>
  <c r="D34" i="1" s="1"/>
  <c r="E6" i="1"/>
  <c r="E7" i="1" s="1"/>
  <c r="F6" i="1"/>
  <c r="F7" i="1" s="1"/>
  <c r="D7" i="1"/>
  <c r="H22" i="1" l="1"/>
  <c r="H34" i="1" s="1"/>
  <c r="H36" i="1" s="1"/>
  <c r="I6" i="1"/>
  <c r="F13" i="1"/>
  <c r="F18" i="1" s="1"/>
  <c r="F22" i="1" s="1"/>
  <c r="F34" i="1" s="1"/>
  <c r="C7" i="1"/>
  <c r="E13" i="1"/>
  <c r="E18" i="1" s="1"/>
  <c r="E22" i="1" s="1"/>
  <c r="E34" i="1" s="1"/>
  <c r="G13" i="1"/>
  <c r="G18" i="1" s="1"/>
  <c r="G22" i="1" s="1"/>
  <c r="G34" i="1" s="1"/>
  <c r="K3" i="1" l="1"/>
  <c r="K30" i="1" s="1"/>
  <c r="I7" i="1"/>
  <c r="I13" i="1"/>
  <c r="K4" i="1" l="1"/>
  <c r="K6" i="1" s="1"/>
  <c r="K10" i="1"/>
  <c r="K25" i="1"/>
  <c r="J6" i="1"/>
  <c r="J7" i="1" s="1"/>
  <c r="L3" i="1"/>
  <c r="L30" i="1" s="1"/>
  <c r="K9" i="1"/>
  <c r="K26" i="1"/>
  <c r="L4" i="1" l="1"/>
  <c r="L25" i="1"/>
  <c r="L10" i="1"/>
  <c r="J13" i="1"/>
  <c r="M3" i="1"/>
  <c r="M30" i="1" s="1"/>
  <c r="L26" i="1"/>
  <c r="L9" i="1"/>
  <c r="K13" i="1"/>
  <c r="K7" i="1"/>
  <c r="I22" i="1"/>
  <c r="I34" i="1" s="1"/>
  <c r="I36" i="1" s="1"/>
  <c r="K18" i="1" l="1"/>
  <c r="K20" i="1" s="1"/>
  <c r="K45" i="1"/>
  <c r="M4" i="1"/>
  <c r="M6" i="1" s="1"/>
  <c r="M7" i="1" s="1"/>
  <c r="L6" i="1"/>
  <c r="L7" i="1" s="1"/>
  <c r="M25" i="1"/>
  <c r="M10" i="1"/>
  <c r="M9" i="1"/>
  <c r="N9" i="1" s="1"/>
  <c r="M26" i="1"/>
  <c r="J18" i="1"/>
  <c r="N3" i="1"/>
  <c r="N25" i="1" l="1"/>
  <c r="L13" i="1"/>
  <c r="L18" i="1" s="1"/>
  <c r="L20" i="1" s="1"/>
  <c r="O3" i="1"/>
  <c r="O30" i="1" s="1"/>
  <c r="N30" i="1"/>
  <c r="N10" i="1"/>
  <c r="N4" i="1"/>
  <c r="N26" i="1"/>
  <c r="O26" i="1" s="1"/>
  <c r="J22" i="1"/>
  <c r="J34" i="1" s="1"/>
  <c r="J36" i="1" s="1"/>
  <c r="K22" i="1"/>
  <c r="M13" i="1"/>
  <c r="M18" i="1" s="1"/>
  <c r="M20" i="1" s="1"/>
  <c r="O9" i="1"/>
  <c r="P3" i="1"/>
  <c r="K34" i="1" l="1"/>
  <c r="K36" i="1" s="1"/>
  <c r="O25" i="1"/>
  <c r="P25" i="1" s="1"/>
  <c r="O10" i="1"/>
  <c r="P10" i="1" s="1"/>
  <c r="O4" i="1"/>
  <c r="O6" i="1" s="1"/>
  <c r="P30" i="1"/>
  <c r="N6" i="1"/>
  <c r="N13" i="1" s="1"/>
  <c r="N18" i="1" s="1"/>
  <c r="N20" i="1" s="1"/>
  <c r="L22" i="1"/>
  <c r="L34" i="1" s="1"/>
  <c r="L36" i="1" s="1"/>
  <c r="P26" i="1"/>
  <c r="Q3" i="1"/>
  <c r="Q30" i="1" s="1"/>
  <c r="P9" i="1"/>
  <c r="P4" i="1" l="1"/>
  <c r="P6" i="1" s="1"/>
  <c r="P7" i="1" s="1"/>
  <c r="Q10" i="1"/>
  <c r="N7" i="1"/>
  <c r="N22" i="1"/>
  <c r="N34" i="1" s="1"/>
  <c r="N36" i="1" s="1"/>
  <c r="R3" i="1"/>
  <c r="Q25" i="1"/>
  <c r="Q26" i="1"/>
  <c r="Q9" i="1"/>
  <c r="O13" i="1"/>
  <c r="O18" i="1" s="1"/>
  <c r="O20" i="1" s="1"/>
  <c r="O7" i="1"/>
  <c r="P13" i="1" l="1"/>
  <c r="P18" i="1" s="1"/>
  <c r="P20" i="1" s="1"/>
  <c r="Q4" i="1"/>
  <c r="Q6" i="1" s="1"/>
  <c r="Q7" i="1" s="1"/>
  <c r="S3" i="1"/>
  <c r="S30" i="1" s="1"/>
  <c r="R30" i="1"/>
  <c r="R10" i="1"/>
  <c r="M22" i="1"/>
  <c r="M34" i="1" s="1"/>
  <c r="M36" i="1" s="1"/>
  <c r="R9" i="1"/>
  <c r="R26" i="1"/>
  <c r="R25" i="1"/>
  <c r="Q13" i="1" l="1"/>
  <c r="Q18" i="1" s="1"/>
  <c r="Q20" i="1" s="1"/>
  <c r="S10" i="1"/>
  <c r="R4" i="1"/>
  <c r="R6" i="1" s="1"/>
  <c r="R13" i="1" s="1"/>
  <c r="R18" i="1" s="1"/>
  <c r="R20" i="1" s="1"/>
  <c r="S26" i="1"/>
  <c r="T3" i="1"/>
  <c r="T30" i="1" s="1"/>
  <c r="S9" i="1"/>
  <c r="S4" i="1"/>
  <c r="S25" i="1"/>
  <c r="O22" i="1"/>
  <c r="O34" i="1" s="1"/>
  <c r="Q22" i="1" l="1"/>
  <c r="Q34" i="1" s="1"/>
  <c r="Q36" i="1" s="1"/>
  <c r="R7" i="1"/>
  <c r="T25" i="1"/>
  <c r="T26" i="1"/>
  <c r="T4" i="1"/>
  <c r="T6" i="1" s="1"/>
  <c r="T7" i="1" s="1"/>
  <c r="P22" i="1"/>
  <c r="P34" i="1" s="1"/>
  <c r="T9" i="1"/>
  <c r="T10" i="1"/>
  <c r="S6" i="1"/>
  <c r="S7" i="1" s="1"/>
  <c r="P36" i="1"/>
  <c r="O36" i="1"/>
  <c r="T13" i="1" l="1"/>
  <c r="T18" i="1" s="1"/>
  <c r="T20" i="1" s="1"/>
  <c r="S13" i="1"/>
  <c r="S18" i="1" s="1"/>
  <c r="S20" i="1" s="1"/>
  <c r="R22" i="1"/>
  <c r="R34" i="1" s="1"/>
  <c r="R36" i="1" s="1"/>
  <c r="S22" i="1" l="1"/>
  <c r="S34" i="1" s="1"/>
  <c r="S36" i="1" s="1"/>
  <c r="T22" i="1"/>
  <c r="T34" i="1" s="1"/>
  <c r="T36" i="1" l="1"/>
  <c r="H41" i="1" s="1"/>
  <c r="U34" i="1"/>
  <c r="U36" i="1" s="1"/>
  <c r="H42" i="1" s="1"/>
  <c r="H43" i="1" l="1"/>
  <c r="K41" i="1" l="1"/>
  <c r="K44" i="1" s="1"/>
  <c r="K46" i="1" s="1"/>
  <c r="H47" i="1"/>
</calcChain>
</file>

<file path=xl/sharedStrings.xml><?xml version="1.0" encoding="utf-8"?>
<sst xmlns="http://schemas.openxmlformats.org/spreadsheetml/2006/main" count="55" uniqueCount="55">
  <si>
    <t xml:space="preserve">Total Revenue </t>
  </si>
  <si>
    <t>Cost of Revenue</t>
  </si>
  <si>
    <t xml:space="preserve">Gross Profit </t>
  </si>
  <si>
    <t>Operating Expenses</t>
  </si>
  <si>
    <t>2009</t>
  </si>
  <si>
    <t>2010</t>
  </si>
  <si>
    <t>EBIT</t>
  </si>
  <si>
    <t>D&amp;A</t>
  </si>
  <si>
    <t>SG&amp;A</t>
  </si>
  <si>
    <t>R&amp;D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</si>
  <si>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</si>
  <si>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</si>
  <si>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</si>
  <si>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</si>
  <si>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</si>
  <si>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</si>
  <si>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</si>
  <si>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</si>
  <si>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</si>
  <si>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</si>
  <si>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</si>
  <si>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</si>
  <si>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Other Income</t>
  </si>
  <si>
    <t>EBT</t>
  </si>
  <si>
    <t>Income Taxes</t>
  </si>
  <si>
    <t>Net Income</t>
  </si>
  <si>
    <t>NCC</t>
  </si>
  <si>
    <t>Share-based Comp</t>
  </si>
  <si>
    <t>CapEx</t>
  </si>
  <si>
    <t>WCInv</t>
  </si>
  <si>
    <t>Borrowing</t>
  </si>
  <si>
    <t>FCFE</t>
  </si>
  <si>
    <t>2023</t>
  </si>
  <si>
    <t>PV of FCF</t>
  </si>
  <si>
    <t>Assumptions:</t>
  </si>
  <si>
    <t>Aggregate of PV of FCFs</t>
  </si>
  <si>
    <t>Terminal Value</t>
  </si>
  <si>
    <t>PV of Terminal Value</t>
  </si>
  <si>
    <t>Total Equity Value</t>
  </si>
  <si>
    <t>Shares Outstanding</t>
  </si>
  <si>
    <t>Target Share Price</t>
  </si>
  <si>
    <t>Top Line Growth</t>
  </si>
  <si>
    <t>Market cap</t>
  </si>
  <si>
    <t>Debt</t>
  </si>
  <si>
    <t>Excess cash</t>
  </si>
  <si>
    <t>Enterprise value</t>
  </si>
  <si>
    <t>EBITDA</t>
  </si>
  <si>
    <t>EBITDA Multiple</t>
  </si>
  <si>
    <t>r =</t>
    <phoneticPr fontId="3" type="noConversion"/>
  </si>
  <si>
    <t>Interest/Debt Expense</t>
    <phoneticPr fontId="3" type="noConversion"/>
  </si>
  <si>
    <t>Income/expenses from investments</t>
    <phoneticPr fontId="3" type="noConversion"/>
  </si>
  <si>
    <t>2024</t>
    <phoneticPr fontId="3" type="noConversion"/>
  </si>
  <si>
    <t>Tesla 10-Yr Model (in millions)</t>
  </si>
  <si>
    <t>2025</t>
  </si>
  <si>
    <t>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</si>
</sst>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0.0%"/>
    <numFmt numFmtId="165" formatCode="_(* #,##0.0_);_(* \(#,##0.0\);_(* &quot;-&quot;?_);_(@_)"/>
  </numFmts>
  <fonts count="4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Border="1" applyAlignment="1"/>
    <xf numFmtId="15" fontId="1" fillId="2" borderId="0" xfId="0" quotePrefix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/>
    <xf numFmtId="42" fontId="2" fillId="2" borderId="0" xfId="0" applyNumberFormat="1" applyFont="1" applyFill="1" applyBorder="1" applyAlignment="1">
      <alignment horizontal="right"/>
    </xf>
    <xf numFmtId="41" fontId="2" fillId="2" borderId="0" xfId="0" applyNumberFormat="1" applyFont="1" applyFill="1" applyBorder="1" applyAlignment="1">
      <alignment horizontal="right"/>
    </xf>
    <xf numFmtId="41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/>
    <xf numFmtId="0" fontId="2" fillId="0" borderId="0" xfId="0" applyFont="1" applyBorder="1" applyAlignment="1"/>
    <xf numFmtId="0" fontId="1" fillId="0" borderId="0" xfId="0" applyFont="1" applyBorder="1" applyAlignment="1"/>
    <xf numFmtId="0" fontId="2" fillId="0" borderId="0" xfId="0" applyFont="1" applyBorder="1" applyAlignment="1">
      <alignment wrapText="1"/>
    </xf>
    <xf numFmtId="15" fontId="1" fillId="3" borderId="0" xfId="0" quotePrefix="1" applyNumberFormat="1" applyFont="1" applyFill="1" applyBorder="1" applyAlignment="1">
      <alignment horizontal="center" vertical="center"/>
    </xf>
    <xf numFmtId="42" fontId="2" fillId="3" borderId="0" xfId="0" applyNumberFormat="1" applyFont="1" applyFill="1" applyBorder="1" applyAlignment="1">
      <alignment horizontal="right"/>
    </xf>
    <xf numFmtId="41" fontId="2" fillId="3" borderId="0" xfId="0" applyNumberFormat="1" applyFont="1" applyFill="1" applyBorder="1" applyAlignment="1">
      <alignment horizontal="right"/>
    </xf>
    <xf numFmtId="41" fontId="2" fillId="3" borderId="0" xfId="0" applyNumberFormat="1" applyFont="1" applyFill="1" applyBorder="1" applyAlignment="1"/>
    <xf numFmtId="164" fontId="2" fillId="3" borderId="0" xfId="0" applyNumberFormat="1" applyFont="1" applyFill="1" applyBorder="1" applyAlignment="1"/>
    <xf numFmtId="0" fontId="2" fillId="3" borderId="0" xfId="0" applyFont="1" applyFill="1" applyBorder="1" applyAlignment="1"/>
    <xf numFmtId="42" fontId="2" fillId="0" borderId="0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/>
    <xf numFmtId="41" fontId="2" fillId="0" borderId="0" xfId="0" applyNumberFormat="1" applyFont="1" applyBorder="1" applyAlignment="1"/>
    <xf numFmtId="0" fontId="1" fillId="0" borderId="0" xfId="0" applyFont="1" applyBorder="1" applyAlignment="1">
      <alignment horizontal="center" wrapText="1"/>
    </xf>
    <xf numFmtId="0" fontId="2" fillId="0" borderId="0" xfId="0" applyFont="1" applyFill="1" applyBorder="1" applyAlignment="1"/>
    <xf numFmtId="0" fontId="2" fillId="0" borderId="2" xfId="0" applyFont="1" applyFill="1" applyBorder="1" applyAlignment="1"/>
    <xf numFmtId="0" fontId="2" fillId="0" borderId="7" xfId="0" applyFont="1" applyFill="1" applyBorder="1" applyAlignment="1"/>
    <xf numFmtId="164" fontId="2" fillId="0" borderId="0" xfId="0" applyNumberFormat="1" applyFont="1" applyFill="1" applyBorder="1" applyAlignment="1"/>
    <xf numFmtId="0" fontId="1" fillId="0" borderId="1" xfId="0" applyFont="1" applyFill="1" applyBorder="1" applyAlignment="1"/>
    <xf numFmtId="41" fontId="2" fillId="0" borderId="3" xfId="0" applyNumberFormat="1" applyFont="1" applyFill="1" applyBorder="1" applyAlignment="1"/>
    <xf numFmtId="0" fontId="1" fillId="0" borderId="4" xfId="0" applyFont="1" applyFill="1" applyBorder="1" applyAlignment="1"/>
    <xf numFmtId="41" fontId="2" fillId="0" borderId="5" xfId="0" applyNumberFormat="1" applyFont="1" applyFill="1" applyBorder="1" applyAlignment="1"/>
    <xf numFmtId="0" fontId="2" fillId="0" borderId="5" xfId="0" applyFont="1" applyFill="1" applyBorder="1" applyAlignment="1"/>
    <xf numFmtId="0" fontId="1" fillId="0" borderId="6" xfId="0" applyFont="1" applyFill="1" applyBorder="1" applyAlignment="1"/>
    <xf numFmtId="5" fontId="2" fillId="0" borderId="8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165" fontId="2" fillId="0" borderId="0" xfId="0" applyNumberFormat="1" applyFont="1" applyFill="1" applyBorder="1" applyAlignment="1"/>
    <xf numFmtId="10" fontId="2" fillId="0" borderId="0" xfId="0" applyNumberFormat="1" applyFont="1" applyBorder="1" applyAlignme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theme" Target="theme/theme1.xml"/>
  <Relationship Id="rId5" Type="http://schemas.openxmlformats.org/officeDocument/2006/relationships/styles" Target="styles.xml"/>
  <Relationship Id="rId6" Type="http://schemas.openxmlformats.org/officeDocument/2006/relationships/sharedStrings" Target="sharedStrings.xml"/>
  <Relationship Id="rId7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229"/>
  <sheetViews>
    <sheetView showGridLines="0" tabSelected="1" zoomScale="80" zoomScaleNormal="80" workbookViewId="0">
      <pane xSplit="2" ySplit="2" topLeftCell="H6" activePane="bottomRight" state="frozen"/>
      <selection pane="topRight" activeCell="C1" sqref="C1"/>
      <selection pane="bottomLeft" activeCell="A2" sqref="A2"/>
      <selection pane="bottomRight" activeCell="K7" sqref="K7"/>
    </sheetView>
  </sheetViews>
  <sheetFormatPr defaultColWidth="8.85546875" defaultRowHeight="18" x14ac:dyDescent="0.25"/>
  <cols>
    <col min="1" max="1" width="3.28515625" style="9" customWidth="1"/>
    <col min="2" max="2" width="37.7109375" style="8" bestFit="1" customWidth="1"/>
    <col min="3" max="7" width="14.7109375" style="16" hidden="1" customWidth="1"/>
    <col min="8" max="8" width="19" style="8" customWidth="1"/>
    <col min="9" max="18" width="17" style="8" customWidth="1"/>
    <col min="19" max="20" width="20.42578125" style="8" customWidth="1"/>
    <col min="21" max="21" width="18" style="8" customWidth="1"/>
    <col min="22" max="16384" width="8.85546875" style="8"/>
  </cols>
  <sheetData>
    <row r="1" spans="1:21" x14ac:dyDescent="0.25">
      <c r="B1" s="22" t="s">
        <v>41</v>
      </c>
      <c r="D1" s="15">
        <f t="shared" ref="D1:G1" si="0">(D3/C3)-1</f>
        <v>0.52021908868430256</v>
      </c>
      <c r="E1" s="15">
        <f t="shared" si="0"/>
        <v>0.65962437715599842</v>
      </c>
      <c r="F1" s="15">
        <f t="shared" si="0"/>
        <v>0.44581474193756976</v>
      </c>
      <c r="G1" s="15">
        <f t="shared" si="0"/>
        <v>9.2020855163953197E-2</v>
      </c>
      <c r="H1" s="15"/>
      <c r="I1" s="15">
        <f>(I3/H3)-1</f>
        <v>0.26503272306147285</v>
      </c>
      <c r="J1" s="15">
        <f>(J3/I3)-1</f>
        <v>0.73012574069611524</v>
      </c>
      <c r="K1" s="25">
        <v>0.27</v>
      </c>
    </row>
    <row r="2" spans="1:21" ht="36" x14ac:dyDescent="0.25">
      <c r="A2" s="1" t="s">
        <v>52</v>
      </c>
      <c r="B2" s="1"/>
      <c r="C2" s="11" t="s">
        <v>4</v>
      </c>
      <c r="D2" s="11" t="s">
        <v>5</v>
      </c>
      <c r="E2" s="11" t="s">
        <v>10</v>
      </c>
      <c r="F2" s="11" t="s">
        <v>11</v>
      </c>
      <c r="G2" s="11" t="s">
        <v>12</v>
      </c>
      <c r="H2" s="11" t="s">
        <v>13</v>
      </c>
      <c r="I2" s="11" t="s">
        <v>14</v>
      </c>
      <c r="J2" s="11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2" t="s">
        <v>21</v>
      </c>
      <c r="Q2" s="2" t="s">
        <v>32</v>
      </c>
      <c r="R2" s="2" t="s">
        <v>51</v>
      </c>
      <c r="S2" s="2" t="s">
        <v>53</v>
      </c>
      <c r="T2" s="2" t="s">
        <v>54</v>
      </c>
      <c r="U2" s="21" t="s">
        <v>36</v>
      </c>
    </row>
    <row r="3" spans="1:21" x14ac:dyDescent="0.25">
      <c r="A3" s="1" t="s">
        <v>0</v>
      </c>
      <c r="B3" s="3"/>
      <c r="C3" s="12">
        <v>42905</v>
      </c>
      <c r="D3" s="12">
        <v>65225</v>
      </c>
      <c r="E3" s="12">
        <v>108249</v>
      </c>
      <c r="F3" s="12">
        <v>156508</v>
      </c>
      <c r="G3" s="12">
        <v>170910</v>
      </c>
      <c r="H3" s="12">
        <v>3198356</v>
      </c>
      <c r="I3" s="12">
        <v>4046025</v>
      </c>
      <c r="J3" s="12">
        <v>7000132</v>
      </c>
      <c r="K3" s="4">
        <f>J3*(1+$K$1)</f>
        <v>8890167.6400000006</v>
      </c>
      <c r="L3" s="4">
        <f>K3*(1+$K$1)</f>
        <v>11290512.902800001</v>
      </c>
      <c r="M3" s="4">
        <f>L3*(1+$K$1)</f>
        <v>14338951.386556001</v>
      </c>
      <c r="N3" s="4">
        <f>M3*(1+$K$1)</f>
        <v>18210468.260926124</v>
      </c>
      <c r="O3" s="4">
        <f>N3*(1+$K$1)</f>
        <v>23127294.691376176</v>
      </c>
      <c r="P3" s="4">
        <f>O3*(1+$K$1)</f>
        <v>29371664.258047745</v>
      </c>
      <c r="Q3" s="4">
        <f>P3*(1+$K$1)</f>
        <v>37302013.607720636</v>
      </c>
      <c r="R3" s="4">
        <f>Q3*(1+$K$1)</f>
        <v>47373557.28180521</v>
      </c>
      <c r="S3" s="4">
        <f>R3*(1+$K$1)</f>
        <v>60164417.747892618</v>
      </c>
      <c r="T3" s="4">
        <f>S3*(1+$K$1)</f>
        <v>76408810.539823622</v>
      </c>
    </row>
    <row r="4" spans="1:21" x14ac:dyDescent="0.25">
      <c r="A4" s="1" t="s">
        <v>1</v>
      </c>
      <c r="B4" s="3"/>
      <c r="C4" s="13">
        <v>25683</v>
      </c>
      <c r="D4" s="13">
        <v>39541</v>
      </c>
      <c r="E4" s="13">
        <v>64431</v>
      </c>
      <c r="F4" s="13">
        <v>87846</v>
      </c>
      <c r="G4" s="13">
        <v>106606</v>
      </c>
      <c r="H4" s="13">
        <v>2316685</v>
      </c>
      <c r="I4" s="13">
        <v>3122522</v>
      </c>
      <c r="J4" s="13">
        <v>5400875</v>
      </c>
      <c r="K4" s="5">
        <f>((J4/J3)-0.015)*K3</f>
        <v>6725758.7353999997</v>
      </c>
      <c r="L4" s="5">
        <f t="shared" ref="L4:T4" si="1">((K4/K3)-0.015)*L3</f>
        <v>8372355.9004159998</v>
      </c>
      <c r="M4" s="5">
        <f t="shared" si="1"/>
        <v>10417807.722729979</v>
      </c>
      <c r="N4" s="5">
        <f t="shared" si="1"/>
        <v>12957458.783953182</v>
      </c>
      <c r="O4" s="5">
        <f t="shared" si="1"/>
        <v>16109063.235249897</v>
      </c>
      <c r="P4" s="5">
        <f t="shared" si="1"/>
        <v>20017935.344896652</v>
      </c>
      <c r="Q4" s="5">
        <f t="shared" si="1"/>
        <v>24863247.683902934</v>
      </c>
      <c r="R4" s="5">
        <f t="shared" si="1"/>
        <v>30865721.199329652</v>
      </c>
      <c r="S4" s="5">
        <f t="shared" si="1"/>
        <v>38296999.656930268</v>
      </c>
      <c r="T4" s="5">
        <f t="shared" si="1"/>
        <v>47491057.406204082</v>
      </c>
    </row>
    <row r="5" spans="1:21" ht="8.25" customHeight="1" x14ac:dyDescent="0.25">
      <c r="A5" s="1"/>
      <c r="B5" s="3"/>
      <c r="C5" s="14"/>
      <c r="D5" s="14"/>
      <c r="E5" s="14"/>
      <c r="F5" s="14"/>
      <c r="G5" s="14"/>
      <c r="H5" s="14"/>
      <c r="I5" s="14"/>
      <c r="J5" s="14"/>
      <c r="K5" s="6"/>
      <c r="L5" s="6"/>
      <c r="M5" s="6"/>
      <c r="N5" s="6"/>
      <c r="O5" s="6"/>
      <c r="P5" s="6"/>
      <c r="Q5" s="3"/>
      <c r="R5" s="3"/>
      <c r="S5" s="3"/>
      <c r="T5" s="3"/>
    </row>
    <row r="6" spans="1:21" x14ac:dyDescent="0.25">
      <c r="A6" s="1" t="s">
        <v>2</v>
      </c>
      <c r="B6" s="3"/>
      <c r="C6" s="13">
        <f>C3-C4</f>
        <v>17222</v>
      </c>
      <c r="D6" s="13">
        <f>D3-D4</f>
        <v>25684</v>
      </c>
      <c r="E6" s="13">
        <f>E3-E4</f>
        <v>43818</v>
      </c>
      <c r="F6" s="13">
        <f>F3-F4</f>
        <v>68662</v>
      </c>
      <c r="G6" s="13">
        <f>G3-G4</f>
        <v>64304</v>
      </c>
      <c r="H6" s="13">
        <f t="shared" ref="H6:Q6" si="2">H3-H4</f>
        <v>881671</v>
      </c>
      <c r="I6" s="13">
        <f t="shared" si="2"/>
        <v>923503</v>
      </c>
      <c r="J6" s="13">
        <f t="shared" si="2"/>
        <v>1599257</v>
      </c>
      <c r="K6" s="18">
        <f t="shared" si="2"/>
        <v>2164408.9046000009</v>
      </c>
      <c r="L6" s="18">
        <f t="shared" si="2"/>
        <v>2918157.0023840014</v>
      </c>
      <c r="M6" s="18">
        <f t="shared" si="2"/>
        <v>3921143.6638260223</v>
      </c>
      <c r="N6" s="18">
        <f t="shared" si="2"/>
        <v>5253009.4769729413</v>
      </c>
      <c r="O6" s="18">
        <f t="shared" si="2"/>
        <v>7018231.4561262783</v>
      </c>
      <c r="P6" s="18">
        <f t="shared" si="2"/>
        <v>9353728.9131510928</v>
      </c>
      <c r="Q6" s="18">
        <f t="shared" si="2"/>
        <v>12438765.923817702</v>
      </c>
      <c r="R6" s="18">
        <f t="shared" ref="R6:S6" si="3">R3-R4</f>
        <v>16507836.082475558</v>
      </c>
      <c r="S6" s="18">
        <f t="shared" si="3"/>
        <v>21867418.09096235</v>
      </c>
      <c r="T6" s="18">
        <f t="shared" ref="T6" si="4">T3-T4</f>
        <v>28917753.133619539</v>
      </c>
    </row>
    <row r="7" spans="1:21" ht="21.75" customHeight="1" x14ac:dyDescent="0.25">
      <c r="A7" s="1"/>
      <c r="B7" s="3"/>
      <c r="C7" s="15">
        <f t="shared" ref="C7:D7" si="5">C6/C3</f>
        <v>0.40139843841044165</v>
      </c>
      <c r="D7" s="15">
        <f t="shared" si="5"/>
        <v>0.39377539287083174</v>
      </c>
      <c r="E7" s="15">
        <f t="shared" ref="E7:G7" si="6">E6/E3</f>
        <v>0.40478895878945764</v>
      </c>
      <c r="F7" s="15">
        <f t="shared" si="6"/>
        <v>0.43871239808827661</v>
      </c>
      <c r="G7" s="15">
        <f t="shared" si="6"/>
        <v>0.37624480720847231</v>
      </c>
      <c r="H7" s="15">
        <f>H6/H3</f>
        <v>0.27566380978227567</v>
      </c>
      <c r="I7" s="15">
        <f t="shared" ref="I7:Q7" si="7">I6/I3</f>
        <v>0.22824945471172323</v>
      </c>
      <c r="J7" s="15">
        <f t="shared" si="7"/>
        <v>0.22846097759299397</v>
      </c>
      <c r="K7" s="7">
        <f t="shared" si="7"/>
        <v>0.24346097759299404</v>
      </c>
      <c r="L7" s="7">
        <f t="shared" si="7"/>
        <v>0.25846097759299408</v>
      </c>
      <c r="M7" s="7">
        <f t="shared" si="7"/>
        <v>0.27346097759299409</v>
      </c>
      <c r="N7" s="7">
        <f t="shared" si="7"/>
        <v>0.28846097759299411</v>
      </c>
      <c r="O7" s="7">
        <f t="shared" si="7"/>
        <v>0.30346097759299417</v>
      </c>
      <c r="P7" s="7">
        <f t="shared" si="7"/>
        <v>0.31846097759299424</v>
      </c>
      <c r="Q7" s="7">
        <f t="shared" si="7"/>
        <v>0.33346097759299437</v>
      </c>
      <c r="R7" s="7">
        <f>R6/R3</f>
        <v>0.34846097759299433</v>
      </c>
      <c r="S7" s="7">
        <f>S6/S3</f>
        <v>0.36346097759299434</v>
      </c>
      <c r="T7" s="7">
        <f>T6/T3</f>
        <v>0.37846097759299435</v>
      </c>
    </row>
    <row r="8" spans="1:21" x14ac:dyDescent="0.25">
      <c r="A8" s="1" t="s">
        <v>3</v>
      </c>
      <c r="H8" s="16"/>
      <c r="I8" s="16"/>
      <c r="J8" s="16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1" x14ac:dyDescent="0.25">
      <c r="A9" s="1"/>
      <c r="B9" s="3" t="s">
        <v>9</v>
      </c>
      <c r="C9" s="13">
        <v>1333</v>
      </c>
      <c r="D9" s="13">
        <v>1782</v>
      </c>
      <c r="E9" s="13">
        <v>2429</v>
      </c>
      <c r="F9" s="13">
        <v>3381</v>
      </c>
      <c r="G9" s="13">
        <v>4475</v>
      </c>
      <c r="H9" s="13">
        <v>464700</v>
      </c>
      <c r="I9" s="13">
        <v>717900</v>
      </c>
      <c r="J9" s="13">
        <v>834408</v>
      </c>
      <c r="K9" s="5">
        <f t="shared" ref="K9:T9" si="8">J9/J3*K3</f>
        <v>1059698.1600000001</v>
      </c>
      <c r="L9" s="5">
        <f t="shared" si="8"/>
        <v>1345816.6632000001</v>
      </c>
      <c r="M9" s="5">
        <f t="shared" si="8"/>
        <v>1709187.1622639999</v>
      </c>
      <c r="N9" s="5">
        <f t="shared" si="8"/>
        <v>2170667.6960752802</v>
      </c>
      <c r="O9" s="5">
        <f t="shared" si="8"/>
        <v>2756747.9740156056</v>
      </c>
      <c r="P9" s="5">
        <f t="shared" si="8"/>
        <v>3501069.9269998195</v>
      </c>
      <c r="Q9" s="5">
        <f t="shared" si="8"/>
        <v>4446358.8072897708</v>
      </c>
      <c r="R9" s="5">
        <f t="shared" si="8"/>
        <v>5646875.6852580095</v>
      </c>
      <c r="S9" s="5">
        <f t="shared" si="8"/>
        <v>7171532.120277673</v>
      </c>
      <c r="T9" s="5">
        <f t="shared" si="8"/>
        <v>9107845.792752644</v>
      </c>
    </row>
    <row r="10" spans="1:21" x14ac:dyDescent="0.25">
      <c r="A10" s="1"/>
      <c r="B10" s="3" t="s">
        <v>8</v>
      </c>
      <c r="C10" s="13">
        <v>4149</v>
      </c>
      <c r="D10" s="13">
        <v>5517</v>
      </c>
      <c r="E10" s="13">
        <v>7599</v>
      </c>
      <c r="F10" s="13">
        <v>10040</v>
      </c>
      <c r="G10" s="13">
        <v>10830</v>
      </c>
      <c r="H10" s="13">
        <v>603660</v>
      </c>
      <c r="I10" s="13">
        <v>922232</v>
      </c>
      <c r="J10" s="13">
        <v>1432189</v>
      </c>
      <c r="K10" s="5">
        <f>((J10/J3)-0.005)*K3</f>
        <v>1774429.1917999999</v>
      </c>
      <c r="L10" s="5">
        <f t="shared" ref="L10:T10" si="9">((K10/K3)-0.005)*L3</f>
        <v>2197072.5090720002</v>
      </c>
      <c r="M10" s="5">
        <f t="shared" si="9"/>
        <v>2718587.32958866</v>
      </c>
      <c r="N10" s="5">
        <f t="shared" si="9"/>
        <v>3361553.5672729677</v>
      </c>
      <c r="O10" s="5">
        <f t="shared" si="9"/>
        <v>4153536.556979788</v>
      </c>
      <c r="P10" s="5">
        <f t="shared" si="9"/>
        <v>5128133.106074092</v>
      </c>
      <c r="Q10" s="5">
        <f t="shared" si="9"/>
        <v>6326218.9766754936</v>
      </c>
      <c r="R10" s="5">
        <f t="shared" si="9"/>
        <v>7797430.3139688512</v>
      </c>
      <c r="S10" s="5">
        <f t="shared" si="9"/>
        <v>9601914.410000978</v>
      </c>
      <c r="T10" s="5">
        <f t="shared" si="9"/>
        <v>11812387.248002123</v>
      </c>
    </row>
    <row r="11" spans="1:21" x14ac:dyDescent="0.25">
      <c r="A11" s="1"/>
      <c r="B11" s="3" t="s">
        <v>50</v>
      </c>
      <c r="C11" s="13"/>
      <c r="D11" s="13"/>
      <c r="E11" s="13"/>
      <c r="F11" s="13"/>
      <c r="G11" s="13"/>
      <c r="H11" s="13"/>
      <c r="I11" s="13"/>
      <c r="J11" s="13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1" x14ac:dyDescent="0.25">
      <c r="A12" s="1"/>
      <c r="B12" s="3"/>
      <c r="H12" s="16"/>
      <c r="I12" s="16"/>
      <c r="J12" s="16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1" x14ac:dyDescent="0.25">
      <c r="A13" s="1" t="s">
        <v>6</v>
      </c>
      <c r="B13" s="3"/>
      <c r="C13" s="13">
        <f>C6-C9-C10</f>
        <v>11740</v>
      </c>
      <c r="D13" s="13">
        <f>D6-D9-D10</f>
        <v>18385</v>
      </c>
      <c r="E13" s="13">
        <f>E6-E9-E10</f>
        <v>33790</v>
      </c>
      <c r="F13" s="13">
        <f t="shared" ref="F13:G13" si="10">F6-F9-F10</f>
        <v>55241</v>
      </c>
      <c r="G13" s="13">
        <f t="shared" si="10"/>
        <v>48999</v>
      </c>
      <c r="H13" s="13">
        <f>H6-H9-H10+H11</f>
        <v>-186689</v>
      </c>
      <c r="I13" s="13">
        <f>I6-I9-I10+I11</f>
        <v>-716629</v>
      </c>
      <c r="J13" s="13">
        <f t="shared" ref="J13:R13" si="11">J6-J9-J10-J11</f>
        <v>-667340</v>
      </c>
      <c r="K13" s="18">
        <f t="shared" si="11"/>
        <v>-669718.44719999912</v>
      </c>
      <c r="L13" s="18">
        <f t="shared" si="11"/>
        <v>-624732.16988799884</v>
      </c>
      <c r="M13" s="18">
        <f t="shared" si="11"/>
        <v>-506630.82802663743</v>
      </c>
      <c r="N13" s="18">
        <f t="shared" si="11"/>
        <v>-279211.78637530655</v>
      </c>
      <c r="O13" s="18">
        <f t="shared" si="11"/>
        <v>107946.92513088463</v>
      </c>
      <c r="P13" s="18">
        <f t="shared" si="11"/>
        <v>724525.88007718138</v>
      </c>
      <c r="Q13" s="18">
        <f t="shared" si="11"/>
        <v>1666188.1398524372</v>
      </c>
      <c r="R13" s="18">
        <f t="shared" si="11"/>
        <v>3063530.0832486982</v>
      </c>
      <c r="S13" s="18">
        <f t="shared" ref="S13:T13" si="12">S6-S9-S10-S11</f>
        <v>5093971.5606836993</v>
      </c>
      <c r="T13" s="18">
        <f t="shared" si="12"/>
        <v>7997520.0928647704</v>
      </c>
    </row>
    <row r="14" spans="1:21" x14ac:dyDescent="0.25">
      <c r="H14" s="16"/>
      <c r="I14" s="16"/>
      <c r="J14" s="16"/>
    </row>
    <row r="15" spans="1:21" x14ac:dyDescent="0.25">
      <c r="A15" s="9" t="s">
        <v>22</v>
      </c>
      <c r="B15" s="10"/>
      <c r="C15" s="13">
        <v>326</v>
      </c>
      <c r="D15" s="13">
        <v>155</v>
      </c>
      <c r="E15" s="13">
        <v>415</v>
      </c>
      <c r="F15" s="13">
        <v>522</v>
      </c>
      <c r="G15" s="13">
        <v>1156</v>
      </c>
      <c r="H15" s="13">
        <v>-1813</v>
      </c>
      <c r="I15" s="16">
        <v>41652</v>
      </c>
      <c r="J15" s="16">
        <v>-111272</v>
      </c>
    </row>
    <row r="16" spans="1:21" x14ac:dyDescent="0.25">
      <c r="A16" s="9" t="s">
        <v>49</v>
      </c>
      <c r="B16" s="10"/>
      <c r="C16" s="13"/>
      <c r="D16" s="13"/>
      <c r="E16" s="13"/>
      <c r="F16" s="13"/>
      <c r="G16" s="13"/>
      <c r="H16" s="13">
        <f>100886-1126</f>
        <v>99760</v>
      </c>
      <c r="I16" s="16">
        <v>117343</v>
      </c>
      <c r="J16" s="16">
        <v>190280</v>
      </c>
      <c r="K16" s="8">
        <v>200</v>
      </c>
      <c r="L16" s="8">
        <v>200</v>
      </c>
      <c r="M16" s="8">
        <v>200</v>
      </c>
      <c r="N16" s="8">
        <v>200</v>
      </c>
      <c r="O16" s="8">
        <v>200</v>
      </c>
      <c r="P16" s="8">
        <v>200</v>
      </c>
      <c r="Q16" s="8">
        <v>200</v>
      </c>
      <c r="R16" s="8">
        <v>200</v>
      </c>
      <c r="S16" s="8">
        <v>200</v>
      </c>
      <c r="T16" s="8">
        <v>200</v>
      </c>
    </row>
    <row r="17" spans="1:20" x14ac:dyDescent="0.25">
      <c r="B17" s="10"/>
      <c r="C17" s="13"/>
      <c r="D17" s="13"/>
      <c r="E17" s="13"/>
      <c r="F17" s="13"/>
      <c r="G17" s="13"/>
      <c r="H17" s="13"/>
      <c r="I17" s="16"/>
      <c r="J17" s="16"/>
    </row>
    <row r="18" spans="1:20" x14ac:dyDescent="0.25">
      <c r="A18" s="9" t="s">
        <v>23</v>
      </c>
      <c r="C18" s="13">
        <f t="shared" ref="C18:E18" si="13">C13+C15</f>
        <v>12066</v>
      </c>
      <c r="D18" s="13">
        <f t="shared" si="13"/>
        <v>18540</v>
      </c>
      <c r="E18" s="13">
        <f t="shared" si="13"/>
        <v>34205</v>
      </c>
      <c r="F18" s="13">
        <f>F13+F15</f>
        <v>55763</v>
      </c>
      <c r="G18" s="13">
        <f>G13+G15</f>
        <v>50155</v>
      </c>
      <c r="H18" s="13">
        <f>H13-H15-H16</f>
        <v>-284636</v>
      </c>
      <c r="I18" s="13">
        <f t="shared" ref="I18:R18" si="14">I13-I15-I16</f>
        <v>-875624</v>
      </c>
      <c r="J18" s="13">
        <f t="shared" si="14"/>
        <v>-746348</v>
      </c>
      <c r="K18" s="18">
        <f t="shared" si="14"/>
        <v>-669918.44719999912</v>
      </c>
      <c r="L18" s="18">
        <f t="shared" si="14"/>
        <v>-624932.16988799884</v>
      </c>
      <c r="M18" s="18">
        <f t="shared" si="14"/>
        <v>-506830.82802663743</v>
      </c>
      <c r="N18" s="18">
        <f t="shared" si="14"/>
        <v>-279411.78637530655</v>
      </c>
      <c r="O18" s="18">
        <f t="shared" si="14"/>
        <v>107746.92513088463</v>
      </c>
      <c r="P18" s="18">
        <f t="shared" si="14"/>
        <v>724325.88007718138</v>
      </c>
      <c r="Q18" s="18">
        <f t="shared" si="14"/>
        <v>1665988.1398524372</v>
      </c>
      <c r="R18" s="18">
        <f t="shared" si="14"/>
        <v>3063330.0832486982</v>
      </c>
      <c r="S18" s="18">
        <f t="shared" ref="S18:T18" si="15">S13-S15-S16</f>
        <v>5093771.5606836993</v>
      </c>
      <c r="T18" s="18">
        <f t="shared" si="15"/>
        <v>7997320.0928647704</v>
      </c>
    </row>
    <row r="19" spans="1:20" x14ac:dyDescent="0.25">
      <c r="C19" s="13"/>
      <c r="D19" s="13"/>
      <c r="E19" s="13"/>
      <c r="F19" s="13"/>
      <c r="G19" s="13"/>
      <c r="H19" s="13"/>
      <c r="I19" s="16"/>
      <c r="J19" s="16"/>
    </row>
    <row r="20" spans="1:20" x14ac:dyDescent="0.25">
      <c r="A20" s="9" t="s">
        <v>24</v>
      </c>
      <c r="B20" s="10"/>
      <c r="C20" s="13">
        <v>3831</v>
      </c>
      <c r="D20" s="13">
        <v>4527</v>
      </c>
      <c r="E20" s="13">
        <v>8283</v>
      </c>
      <c r="F20" s="13">
        <v>14030</v>
      </c>
      <c r="G20" s="13">
        <v>13118</v>
      </c>
      <c r="H20" s="13">
        <v>9404</v>
      </c>
      <c r="I20" s="13">
        <v>13039</v>
      </c>
      <c r="J20" s="13">
        <v>26698</v>
      </c>
      <c r="K20" s="18">
        <f>K18*0.3</f>
        <v>-200975.53415999972</v>
      </c>
      <c r="L20" s="18">
        <f t="shared" ref="L20:T20" si="16">L18*0.3</f>
        <v>-187479.65096639964</v>
      </c>
      <c r="M20" s="18">
        <f t="shared" si="16"/>
        <v>-152049.24840799122</v>
      </c>
      <c r="N20" s="18">
        <f t="shared" si="16"/>
        <v>-83823.535912591964</v>
      </c>
      <c r="O20" s="18">
        <f t="shared" si="16"/>
        <v>32324.077539265389</v>
      </c>
      <c r="P20" s="18">
        <f t="shared" si="16"/>
        <v>217297.76402315442</v>
      </c>
      <c r="Q20" s="18">
        <f t="shared" si="16"/>
        <v>499796.44195573113</v>
      </c>
      <c r="R20" s="18">
        <f t="shared" si="16"/>
        <v>918999.02497460938</v>
      </c>
      <c r="S20" s="18">
        <f t="shared" si="16"/>
        <v>1528131.4682051097</v>
      </c>
      <c r="T20" s="18">
        <f t="shared" si="16"/>
        <v>2399196.0278594312</v>
      </c>
    </row>
    <row r="21" spans="1:20" x14ac:dyDescent="0.25">
      <c r="B21" s="10"/>
      <c r="C21" s="13"/>
      <c r="D21" s="13"/>
      <c r="E21" s="13"/>
      <c r="F21" s="13"/>
      <c r="G21" s="13"/>
      <c r="H21" s="13"/>
      <c r="I21" s="16"/>
      <c r="J21" s="16"/>
    </row>
    <row r="22" spans="1:20" x14ac:dyDescent="0.25">
      <c r="A22" s="9" t="s">
        <v>25</v>
      </c>
      <c r="C22" s="12">
        <f t="shared" ref="C22:E22" si="17">C18-C20</f>
        <v>8235</v>
      </c>
      <c r="D22" s="12">
        <f t="shared" si="17"/>
        <v>14013</v>
      </c>
      <c r="E22" s="12">
        <f t="shared" si="17"/>
        <v>25922</v>
      </c>
      <c r="F22" s="12">
        <f>F18-F20</f>
        <v>41733</v>
      </c>
      <c r="G22" s="12">
        <f>G18-G20</f>
        <v>37037</v>
      </c>
      <c r="H22" s="12">
        <f t="shared" ref="H22:Q22" si="18">H18-H20</f>
        <v>-294040</v>
      </c>
      <c r="I22" s="12">
        <f t="shared" si="18"/>
        <v>-888663</v>
      </c>
      <c r="J22" s="12">
        <f t="shared" si="18"/>
        <v>-773046</v>
      </c>
      <c r="K22" s="17">
        <f t="shared" si="18"/>
        <v>-468942.91303999943</v>
      </c>
      <c r="L22" s="17">
        <f t="shared" si="18"/>
        <v>-437452.5189215992</v>
      </c>
      <c r="M22" s="17">
        <f t="shared" si="18"/>
        <v>-354781.57961864618</v>
      </c>
      <c r="N22" s="17">
        <f t="shared" si="18"/>
        <v>-195588.25046271458</v>
      </c>
      <c r="O22" s="17">
        <f t="shared" si="18"/>
        <v>75422.84759161924</v>
      </c>
      <c r="P22" s="17">
        <f t="shared" si="18"/>
        <v>507028.11605402699</v>
      </c>
      <c r="Q22" s="17">
        <f t="shared" si="18"/>
        <v>1166191.6978967059</v>
      </c>
      <c r="R22" s="17">
        <f t="shared" ref="R22:S22" si="19">R18-R20</f>
        <v>2144331.0582740889</v>
      </c>
      <c r="S22" s="17">
        <f t="shared" si="19"/>
        <v>3565640.0924785896</v>
      </c>
      <c r="T22" s="17">
        <f t="shared" ref="T22" si="20">T18-T20</f>
        <v>5598124.0650053397</v>
      </c>
    </row>
    <row r="23" spans="1:20" x14ac:dyDescent="0.25">
      <c r="C23" s="13"/>
      <c r="D23" s="13"/>
      <c r="E23" s="13"/>
      <c r="F23" s="13"/>
      <c r="G23" s="13"/>
      <c r="H23" s="13"/>
      <c r="I23" s="16"/>
      <c r="J23" s="16"/>
    </row>
    <row r="24" spans="1:20" x14ac:dyDescent="0.25">
      <c r="A24" s="9" t="s">
        <v>26</v>
      </c>
      <c r="C24" s="13"/>
      <c r="D24" s="13"/>
      <c r="E24" s="13"/>
      <c r="F24" s="13"/>
      <c r="G24" s="13"/>
      <c r="H24" s="13"/>
      <c r="I24" s="16"/>
      <c r="J24" s="16"/>
    </row>
    <row r="25" spans="1:20" x14ac:dyDescent="0.25">
      <c r="B25" s="8" t="s">
        <v>7</v>
      </c>
      <c r="C25" s="13">
        <v>734</v>
      </c>
      <c r="D25" s="13">
        <v>1027</v>
      </c>
      <c r="E25" s="13">
        <v>1814</v>
      </c>
      <c r="F25" s="13">
        <v>3277</v>
      </c>
      <c r="G25" s="13">
        <v>6757</v>
      </c>
      <c r="H25" s="13">
        <v>231931</v>
      </c>
      <c r="I25" s="13">
        <v>422590</v>
      </c>
      <c r="J25" s="13">
        <v>947099</v>
      </c>
      <c r="K25" s="18">
        <f t="shared" ref="K25:T25" si="21">J25/J3*K3</f>
        <v>1202815.73</v>
      </c>
      <c r="L25" s="18">
        <f t="shared" si="21"/>
        <v>1527575.9771000003</v>
      </c>
      <c r="M25" s="18">
        <f t="shared" si="21"/>
        <v>1940021.4909170002</v>
      </c>
      <c r="N25" s="18">
        <f t="shared" si="21"/>
        <v>2463827.2934645903</v>
      </c>
      <c r="O25" s="18">
        <f t="shared" si="21"/>
        <v>3129060.6627000296</v>
      </c>
      <c r="P25" s="18">
        <f t="shared" si="21"/>
        <v>3973907.0416290378</v>
      </c>
      <c r="Q25" s="18">
        <f t="shared" si="21"/>
        <v>5046861.9428688781</v>
      </c>
      <c r="R25" s="18">
        <f t="shared" si="21"/>
        <v>6409514.6674434757</v>
      </c>
      <c r="S25" s="18">
        <f t="shared" si="21"/>
        <v>8140083.6276532141</v>
      </c>
      <c r="T25" s="18">
        <f t="shared" si="21"/>
        <v>10337906.207119582</v>
      </c>
    </row>
    <row r="26" spans="1:20" x14ac:dyDescent="0.25">
      <c r="B26" s="8" t="s">
        <v>27</v>
      </c>
      <c r="C26" s="13">
        <v>710</v>
      </c>
      <c r="D26" s="13">
        <v>879</v>
      </c>
      <c r="E26" s="13">
        <v>1168</v>
      </c>
      <c r="F26" s="13">
        <v>1740</v>
      </c>
      <c r="G26" s="13">
        <v>2253</v>
      </c>
      <c r="H26" s="13">
        <v>156496</v>
      </c>
      <c r="I26" s="14">
        <v>197999</v>
      </c>
      <c r="J26" s="14">
        <v>334225</v>
      </c>
      <c r="K26" s="20">
        <f t="shared" ref="K26:T26" si="22">J26/J3*K3</f>
        <v>424465.75000000006</v>
      </c>
      <c r="L26" s="20">
        <f t="shared" si="22"/>
        <v>539071.50250000006</v>
      </c>
      <c r="M26" s="20">
        <f t="shared" si="22"/>
        <v>684620.80817500013</v>
      </c>
      <c r="N26" s="20">
        <f t="shared" si="22"/>
        <v>869468.42638225027</v>
      </c>
      <c r="O26" s="20">
        <f t="shared" si="22"/>
        <v>1104224.9015054577</v>
      </c>
      <c r="P26" s="20">
        <f t="shared" si="22"/>
        <v>1402365.6249119313</v>
      </c>
      <c r="Q26" s="20">
        <f t="shared" si="22"/>
        <v>1781004.3436381528</v>
      </c>
      <c r="R26" s="20">
        <f t="shared" si="22"/>
        <v>2261875.5164204543</v>
      </c>
      <c r="S26" s="20">
        <f t="shared" si="22"/>
        <v>2872581.905853977</v>
      </c>
      <c r="T26" s="20">
        <f t="shared" si="22"/>
        <v>3648179.0204345505</v>
      </c>
    </row>
    <row r="27" spans="1:20" x14ac:dyDescent="0.25">
      <c r="C27" s="13"/>
      <c r="D27" s="13"/>
      <c r="E27" s="13"/>
      <c r="F27" s="13"/>
      <c r="G27" s="13"/>
      <c r="H27" s="13"/>
      <c r="I27" s="16"/>
      <c r="J27" s="16"/>
    </row>
    <row r="28" spans="1:20" x14ac:dyDescent="0.25">
      <c r="A28" s="9" t="s">
        <v>28</v>
      </c>
      <c r="C28" s="13">
        <v>-1144</v>
      </c>
      <c r="D28" s="13">
        <v>-2005</v>
      </c>
      <c r="E28" s="13">
        <v>-4260</v>
      </c>
      <c r="F28" s="13">
        <v>-8295</v>
      </c>
      <c r="G28" s="13">
        <v>-8165</v>
      </c>
      <c r="H28" s="13">
        <v>-969885</v>
      </c>
      <c r="I28" s="13">
        <v>-1634850</v>
      </c>
      <c r="J28" s="13">
        <v>-1280802</v>
      </c>
      <c r="K28" s="18">
        <f>J28*1.2</f>
        <v>-1536962.4</v>
      </c>
      <c r="L28" s="18">
        <f t="shared" ref="L28:T28" si="23">K28*1.2</f>
        <v>-1844354.88</v>
      </c>
      <c r="M28" s="18">
        <f t="shared" si="23"/>
        <v>-2213225.8559999997</v>
      </c>
      <c r="N28" s="18">
        <f t="shared" si="23"/>
        <v>-2655871.0271999994</v>
      </c>
      <c r="O28" s="18">
        <f t="shared" si="23"/>
        <v>-3187045.2326399991</v>
      </c>
      <c r="P28" s="18">
        <f t="shared" si="23"/>
        <v>-3824454.2791679986</v>
      </c>
      <c r="Q28" s="18">
        <f t="shared" si="23"/>
        <v>-4589345.1350015979</v>
      </c>
      <c r="R28" s="18">
        <f t="shared" si="23"/>
        <v>-5507214.1620019171</v>
      </c>
      <c r="S28" s="18">
        <f t="shared" si="23"/>
        <v>-6608656.9944023006</v>
      </c>
      <c r="T28" s="18">
        <f t="shared" si="23"/>
        <v>-7930388.3932827599</v>
      </c>
    </row>
    <row r="29" spans="1:20" x14ac:dyDescent="0.25">
      <c r="C29" s="13"/>
      <c r="D29" s="13"/>
      <c r="E29" s="13"/>
      <c r="F29" s="13"/>
      <c r="G29" s="13"/>
      <c r="H29" s="13"/>
      <c r="I29" s="16"/>
      <c r="J29" s="16"/>
    </row>
    <row r="30" spans="1:20" x14ac:dyDescent="0.25">
      <c r="A30" s="9" t="s">
        <v>29</v>
      </c>
      <c r="C30" s="13">
        <v>-586</v>
      </c>
      <c r="D30" s="13">
        <v>1212</v>
      </c>
      <c r="E30" s="13">
        <v>5757</v>
      </c>
      <c r="F30" s="13">
        <v>-299</v>
      </c>
      <c r="G30" s="13">
        <v>6478</v>
      </c>
      <c r="H30" s="13">
        <f>-183658-1050264-60637-4493+252781+162075+209681+106230</f>
        <v>-568285</v>
      </c>
      <c r="I30" s="13">
        <v>-493289</v>
      </c>
      <c r="J30" s="13">
        <v>-693861</v>
      </c>
      <c r="K30" s="18">
        <f>-0.05*K3</f>
        <v>-444508.38200000004</v>
      </c>
      <c r="L30" s="18">
        <f t="shared" ref="L30:T30" si="24">-0.05*L3</f>
        <v>-564525.64514000004</v>
      </c>
      <c r="M30" s="18">
        <f t="shared" si="24"/>
        <v>-716947.56932780007</v>
      </c>
      <c r="N30" s="18">
        <f t="shared" si="24"/>
        <v>-910523.41304630623</v>
      </c>
      <c r="O30" s="18">
        <f t="shared" si="24"/>
        <v>-1156364.7345688089</v>
      </c>
      <c r="P30" s="18">
        <f t="shared" si="24"/>
        <v>-1468583.2129023874</v>
      </c>
      <c r="Q30" s="18">
        <f t="shared" si="24"/>
        <v>-1865100.680386032</v>
      </c>
      <c r="R30" s="18">
        <f t="shared" si="24"/>
        <v>-2368677.8640902606</v>
      </c>
      <c r="S30" s="18">
        <f t="shared" si="24"/>
        <v>-3008220.8873946313</v>
      </c>
      <c r="T30" s="18">
        <f t="shared" si="24"/>
        <v>-3820440.5269911811</v>
      </c>
    </row>
    <row r="31" spans="1:20" x14ac:dyDescent="0.25">
      <c r="C31" s="13"/>
      <c r="D31" s="13"/>
      <c r="E31" s="13"/>
      <c r="F31" s="13"/>
      <c r="G31" s="13"/>
      <c r="H31" s="13"/>
      <c r="I31" s="16"/>
      <c r="J31" s="16"/>
    </row>
    <row r="32" spans="1:20" x14ac:dyDescent="0.25">
      <c r="A32" s="9" t="s">
        <v>30</v>
      </c>
      <c r="C32" s="13"/>
      <c r="D32" s="13"/>
      <c r="E32" s="13"/>
      <c r="F32" s="13"/>
      <c r="G32" s="13"/>
      <c r="H32" s="13"/>
      <c r="I32" s="16"/>
      <c r="J32" s="16"/>
    </row>
    <row r="33" spans="1:21" x14ac:dyDescent="0.25">
      <c r="C33" s="13"/>
      <c r="D33" s="13"/>
      <c r="E33" s="13"/>
      <c r="F33" s="13"/>
      <c r="G33" s="13"/>
      <c r="H33" s="13"/>
      <c r="I33" s="16"/>
      <c r="J33" s="16"/>
    </row>
    <row r="34" spans="1:21" x14ac:dyDescent="0.25">
      <c r="A34" s="9" t="s">
        <v>31</v>
      </c>
      <c r="C34" s="14">
        <f t="shared" ref="C34:F34" si="25">SUM(C22:C33)</f>
        <v>7949</v>
      </c>
      <c r="D34" s="14">
        <f t="shared" si="25"/>
        <v>15126</v>
      </c>
      <c r="E34" s="14">
        <f t="shared" si="25"/>
        <v>30401</v>
      </c>
      <c r="F34" s="14">
        <f t="shared" si="25"/>
        <v>38156</v>
      </c>
      <c r="G34" s="14">
        <f>SUM(G22:G33)</f>
        <v>44360</v>
      </c>
      <c r="H34" s="14">
        <f t="shared" ref="H34:Q34" si="26">SUM(H22:H33)</f>
        <v>-1443783</v>
      </c>
      <c r="I34" s="14">
        <f t="shared" si="26"/>
        <v>-2396213</v>
      </c>
      <c r="J34" s="14">
        <f t="shared" si="26"/>
        <v>-1466385</v>
      </c>
      <c r="K34" s="19">
        <f>SUM(K22:K33)</f>
        <v>-823132.21503999922</v>
      </c>
      <c r="L34" s="19">
        <f t="shared" si="26"/>
        <v>-779685.56446159899</v>
      </c>
      <c r="M34" s="19">
        <f t="shared" si="26"/>
        <v>-660312.70585444523</v>
      </c>
      <c r="N34" s="19">
        <f t="shared" si="26"/>
        <v>-428686.97086217976</v>
      </c>
      <c r="O34" s="19">
        <f t="shared" si="26"/>
        <v>-34701.555411701789</v>
      </c>
      <c r="P34" s="19">
        <f t="shared" si="26"/>
        <v>590263.29052461055</v>
      </c>
      <c r="Q34" s="19">
        <f t="shared" si="26"/>
        <v>1539612.169016107</v>
      </c>
      <c r="R34" s="19">
        <f t="shared" ref="R34:S34" si="27">SUM(R22:R33)</f>
        <v>2939829.2160458411</v>
      </c>
      <c r="S34" s="19">
        <f t="shared" si="27"/>
        <v>4961427.7441888489</v>
      </c>
      <c r="T34" s="19">
        <f t="shared" ref="T34" si="28">SUM(T22:T33)</f>
        <v>7833380.37228553</v>
      </c>
      <c r="U34" s="19">
        <f>T34*(1.03)/(B39-0.03)</f>
        <v>100854772.2931762</v>
      </c>
    </row>
    <row r="35" spans="1:21" x14ac:dyDescent="0.25">
      <c r="H35" s="16"/>
      <c r="I35" s="16"/>
      <c r="J35" s="16"/>
    </row>
    <row r="36" spans="1:21" x14ac:dyDescent="0.25">
      <c r="A36" s="9" t="s">
        <v>33</v>
      </c>
      <c r="H36" s="14">
        <f>H34/(1+$B$39)^H37</f>
        <v>-1443783</v>
      </c>
      <c r="I36" s="14">
        <f t="shared" ref="I36:Q36" si="29">I34/(1+$B$39)^I37</f>
        <v>-2396213</v>
      </c>
      <c r="J36" s="14">
        <f t="shared" si="29"/>
        <v>-1466385</v>
      </c>
      <c r="K36" s="19">
        <f t="shared" si="29"/>
        <v>-741560.55409008928</v>
      </c>
      <c r="L36" s="19">
        <f t="shared" si="29"/>
        <v>-632810.2949935873</v>
      </c>
      <c r="M36" s="19">
        <f t="shared" si="29"/>
        <v>-482814.95948427985</v>
      </c>
      <c r="N36" s="19">
        <f t="shared" si="29"/>
        <v>-282389.38591931295</v>
      </c>
      <c r="O36" s="19">
        <f t="shared" si="29"/>
        <v>-20593.684144772087</v>
      </c>
      <c r="P36" s="19">
        <f t="shared" si="29"/>
        <v>315578.85915859905</v>
      </c>
      <c r="Q36" s="19">
        <f t="shared" si="29"/>
        <v>741567.15071644075</v>
      </c>
      <c r="R36" s="19">
        <f t="shared" ref="R36:S36" si="30">R34/(1+$B$39)^R37</f>
        <v>1275669.791433329</v>
      </c>
      <c r="S36" s="19">
        <f t="shared" si="30"/>
        <v>1939545.0069114054</v>
      </c>
      <c r="T36" s="19">
        <f t="shared" ref="T36" si="31">T34/(1+$B$39)^T37</f>
        <v>2758794.9834555187</v>
      </c>
      <c r="U36" s="19">
        <f>U34/(1+$B$39)^U37</f>
        <v>35519485.411989808</v>
      </c>
    </row>
    <row r="37" spans="1:21" x14ac:dyDescent="0.25">
      <c r="H37" s="16"/>
      <c r="I37" s="16"/>
      <c r="J37" s="16"/>
      <c r="K37" s="8">
        <v>1</v>
      </c>
      <c r="L37" s="8">
        <v>2</v>
      </c>
      <c r="M37" s="8">
        <v>3</v>
      </c>
      <c r="N37" s="8">
        <v>4</v>
      </c>
      <c r="O37" s="8">
        <v>5</v>
      </c>
      <c r="P37" s="8">
        <v>6</v>
      </c>
      <c r="Q37" s="8">
        <v>7</v>
      </c>
      <c r="R37" s="8">
        <v>8</v>
      </c>
      <c r="S37" s="8">
        <v>9</v>
      </c>
      <c r="T37" s="8">
        <v>10</v>
      </c>
      <c r="U37" s="8">
        <v>10</v>
      </c>
    </row>
    <row r="38" spans="1:21" x14ac:dyDescent="0.25">
      <c r="A38" s="9" t="s">
        <v>34</v>
      </c>
      <c r="H38" s="16"/>
      <c r="I38" s="16"/>
      <c r="J38" s="16"/>
    </row>
    <row r="39" spans="1:21" x14ac:dyDescent="0.25">
      <c r="A39" s="9" t="s">
        <v>48</v>
      </c>
      <c r="B39" s="36">
        <v>0.11</v>
      </c>
      <c r="H39" s="16"/>
      <c r="I39" s="16"/>
      <c r="J39" s="16"/>
    </row>
    <row r="40" spans="1:21" x14ac:dyDescent="0.25">
      <c r="H40" s="16"/>
      <c r="I40" s="16"/>
      <c r="J40" s="16"/>
    </row>
    <row r="41" spans="1:21" s="22" customFormat="1" x14ac:dyDescent="0.25">
      <c r="A41" s="26" t="s">
        <v>35</v>
      </c>
      <c r="B41" s="23"/>
      <c r="C41" s="23"/>
      <c r="D41" s="23"/>
      <c r="E41" s="23"/>
      <c r="F41" s="23"/>
      <c r="G41" s="23"/>
      <c r="H41" s="27">
        <f>SUM(K36:T36)</f>
        <v>4870986.9130432513</v>
      </c>
      <c r="J41" s="34" t="s">
        <v>42</v>
      </c>
      <c r="K41" s="19">
        <f>H43</f>
        <v>40390472.325033061</v>
      </c>
    </row>
    <row r="42" spans="1:21" s="22" customFormat="1" x14ac:dyDescent="0.25">
      <c r="A42" s="28" t="s">
        <v>37</v>
      </c>
      <c r="H42" s="29">
        <f>U36</f>
        <v>35519485.411989808</v>
      </c>
      <c r="J42" s="34" t="s">
        <v>43</v>
      </c>
      <c r="K42" s="19">
        <v>7119647</v>
      </c>
    </row>
    <row r="43" spans="1:21" s="22" customFormat="1" x14ac:dyDescent="0.25">
      <c r="A43" s="28" t="s">
        <v>38</v>
      </c>
      <c r="H43" s="29">
        <f>H41+H42</f>
        <v>40390472.325033061</v>
      </c>
      <c r="J43" s="34" t="s">
        <v>44</v>
      </c>
      <c r="K43" s="19">
        <v>0</v>
      </c>
    </row>
    <row r="44" spans="1:21" s="22" customFormat="1" x14ac:dyDescent="0.25">
      <c r="A44" s="28"/>
      <c r="H44" s="30"/>
      <c r="J44" s="34" t="s">
        <v>45</v>
      </c>
      <c r="K44" s="19">
        <f>SUM(K41:K43)</f>
        <v>47510119.325033061</v>
      </c>
    </row>
    <row r="45" spans="1:21" s="22" customFormat="1" x14ac:dyDescent="0.25">
      <c r="A45" s="28" t="s">
        <v>39</v>
      </c>
      <c r="H45" s="30">
        <v>145000</v>
      </c>
      <c r="J45" s="34" t="s">
        <v>46</v>
      </c>
      <c r="K45" s="19">
        <f>K13+K25+K26</f>
        <v>957563.03280000086</v>
      </c>
    </row>
    <row r="46" spans="1:21" s="22" customFormat="1" x14ac:dyDescent="0.25">
      <c r="A46" s="28"/>
      <c r="H46" s="30"/>
      <c r="J46" s="34" t="s">
        <v>47</v>
      </c>
      <c r="K46" s="35">
        <f>K44/K45</f>
        <v>49.615657348539422</v>
      </c>
    </row>
    <row r="47" spans="1:21" s="22" customFormat="1" x14ac:dyDescent="0.25">
      <c r="A47" s="31" t="s">
        <v>40</v>
      </c>
      <c r="B47" s="24"/>
      <c r="C47" s="24"/>
      <c r="D47" s="24"/>
      <c r="E47" s="24"/>
      <c r="F47" s="24"/>
      <c r="G47" s="24"/>
      <c r="H47" s="32">
        <f>H43/H45</f>
        <v>278.55498155195215</v>
      </c>
    </row>
    <row r="48" spans="1:21" s="22" customFormat="1" x14ac:dyDescent="0.25">
      <c r="A48" s="33"/>
    </row>
    <row r="49" spans="1:1" s="22" customFormat="1" x14ac:dyDescent="0.25">
      <c r="A49" s="33"/>
    </row>
    <row r="50" spans="1:1" s="22" customFormat="1" x14ac:dyDescent="0.25">
      <c r="A50" s="33"/>
    </row>
    <row r="51" spans="1:1" s="22" customFormat="1" x14ac:dyDescent="0.25">
      <c r="A51" s="33"/>
    </row>
    <row r="52" spans="1:1" s="22" customFormat="1" x14ac:dyDescent="0.25">
      <c r="A52" s="33"/>
    </row>
    <row r="53" spans="1:1" s="22" customFormat="1" x14ac:dyDescent="0.25">
      <c r="A53" s="33"/>
    </row>
    <row r="54" spans="1:1" s="22" customFormat="1" x14ac:dyDescent="0.25">
      <c r="A54" s="33"/>
    </row>
    <row r="55" spans="1:1" s="22" customFormat="1" x14ac:dyDescent="0.25">
      <c r="A55" s="33"/>
    </row>
    <row r="56" spans="1:1" s="22" customFormat="1" x14ac:dyDescent="0.25">
      <c r="A56" s="33"/>
    </row>
    <row r="57" spans="1:1" s="22" customFormat="1" x14ac:dyDescent="0.25">
      <c r="A57" s="33"/>
    </row>
    <row r="58" spans="1:1" s="22" customFormat="1" x14ac:dyDescent="0.25">
      <c r="A58" s="33"/>
    </row>
    <row r="59" spans="1:1" s="22" customFormat="1" x14ac:dyDescent="0.25">
      <c r="A59" s="33"/>
    </row>
    <row r="60" spans="1:1" s="22" customFormat="1" x14ac:dyDescent="0.25">
      <c r="A60" s="33"/>
    </row>
    <row r="61" spans="1:1" s="22" customFormat="1" x14ac:dyDescent="0.25">
      <c r="A61" s="33"/>
    </row>
    <row r="62" spans="1:1" s="22" customFormat="1" x14ac:dyDescent="0.25">
      <c r="A62" s="33"/>
    </row>
    <row r="63" spans="1:1" s="22" customFormat="1" x14ac:dyDescent="0.25">
      <c r="A63" s="33"/>
    </row>
    <row r="64" spans="1:1" s="22" customFormat="1" x14ac:dyDescent="0.25">
      <c r="A64" s="33"/>
    </row>
    <row r="65" spans="1:1" s="22" customFormat="1" x14ac:dyDescent="0.25">
      <c r="A65" s="33"/>
    </row>
    <row r="66" spans="1:1" s="22" customFormat="1" x14ac:dyDescent="0.25">
      <c r="A66" s="33"/>
    </row>
    <row r="67" spans="1:1" s="22" customFormat="1" x14ac:dyDescent="0.25">
      <c r="A67" s="33"/>
    </row>
    <row r="68" spans="1:1" s="22" customFormat="1" x14ac:dyDescent="0.25">
      <c r="A68" s="33"/>
    </row>
    <row r="69" spans="1:1" s="22" customFormat="1" x14ac:dyDescent="0.25">
      <c r="A69" s="33"/>
    </row>
    <row r="70" spans="1:1" s="22" customFormat="1" x14ac:dyDescent="0.25">
      <c r="A70" s="33"/>
    </row>
    <row r="71" spans="1:1" s="22" customFormat="1" x14ac:dyDescent="0.25">
      <c r="A71" s="33"/>
    </row>
    <row r="72" spans="1:1" s="22" customFormat="1" x14ac:dyDescent="0.25">
      <c r="A72" s="33"/>
    </row>
    <row r="73" spans="1:1" s="22" customFormat="1" x14ac:dyDescent="0.25">
      <c r="A73" s="33"/>
    </row>
    <row r="74" spans="1:1" s="22" customFormat="1" x14ac:dyDescent="0.25">
      <c r="A74" s="33"/>
    </row>
    <row r="75" spans="1:1" s="22" customFormat="1" x14ac:dyDescent="0.25">
      <c r="A75" s="33"/>
    </row>
    <row r="76" spans="1:1" s="22" customFormat="1" x14ac:dyDescent="0.25">
      <c r="A76" s="33"/>
    </row>
    <row r="77" spans="1:1" s="22" customFormat="1" x14ac:dyDescent="0.25">
      <c r="A77" s="33"/>
    </row>
    <row r="78" spans="1:1" s="22" customFormat="1" x14ac:dyDescent="0.25">
      <c r="A78" s="33"/>
    </row>
    <row r="79" spans="1:1" s="22" customFormat="1" x14ac:dyDescent="0.25">
      <c r="A79" s="33"/>
    </row>
    <row r="80" spans="1:1" s="22" customFormat="1" x14ac:dyDescent="0.25">
      <c r="A80" s="33"/>
    </row>
    <row r="81" spans="1:1" s="22" customFormat="1" x14ac:dyDescent="0.25">
      <c r="A81" s="33"/>
    </row>
    <row r="82" spans="1:1" s="22" customFormat="1" x14ac:dyDescent="0.25">
      <c r="A82" s="33"/>
    </row>
    <row r="83" spans="1:1" s="22" customFormat="1" x14ac:dyDescent="0.25">
      <c r="A83" s="33"/>
    </row>
    <row r="84" spans="1:1" s="22" customFormat="1" x14ac:dyDescent="0.25">
      <c r="A84" s="33"/>
    </row>
    <row r="85" spans="1:1" s="22" customFormat="1" x14ac:dyDescent="0.25">
      <c r="A85" s="33"/>
    </row>
    <row r="86" spans="1:1" s="22" customFormat="1" x14ac:dyDescent="0.25">
      <c r="A86" s="33"/>
    </row>
    <row r="87" spans="1:1" s="22" customFormat="1" x14ac:dyDescent="0.25">
      <c r="A87" s="33"/>
    </row>
    <row r="88" spans="1:1" s="22" customFormat="1" x14ac:dyDescent="0.25">
      <c r="A88" s="33"/>
    </row>
    <row r="89" spans="1:1" s="22" customFormat="1" x14ac:dyDescent="0.25">
      <c r="A89" s="33"/>
    </row>
    <row r="90" spans="1:1" s="22" customFormat="1" x14ac:dyDescent="0.25">
      <c r="A90" s="33"/>
    </row>
    <row r="91" spans="1:1" s="22" customFormat="1" x14ac:dyDescent="0.25">
      <c r="A91" s="33"/>
    </row>
    <row r="92" spans="1:1" s="22" customFormat="1" x14ac:dyDescent="0.25">
      <c r="A92" s="33"/>
    </row>
    <row r="93" spans="1:1" s="22" customFormat="1" x14ac:dyDescent="0.25">
      <c r="A93" s="33"/>
    </row>
    <row r="94" spans="1:1" s="22" customFormat="1" x14ac:dyDescent="0.25">
      <c r="A94" s="33"/>
    </row>
    <row r="95" spans="1:1" s="22" customFormat="1" x14ac:dyDescent="0.25">
      <c r="A95" s="33"/>
    </row>
    <row r="96" spans="1:1" s="22" customFormat="1" x14ac:dyDescent="0.25">
      <c r="A96" s="33"/>
    </row>
    <row r="97" spans="1:1" s="22" customFormat="1" x14ac:dyDescent="0.25">
      <c r="A97" s="33"/>
    </row>
    <row r="98" spans="1:1" s="22" customFormat="1" x14ac:dyDescent="0.25">
      <c r="A98" s="33"/>
    </row>
    <row r="99" spans="1:1" s="22" customFormat="1" x14ac:dyDescent="0.25">
      <c r="A99" s="33"/>
    </row>
    <row r="100" spans="1:1" s="22" customFormat="1" x14ac:dyDescent="0.25">
      <c r="A100" s="33"/>
    </row>
    <row r="101" spans="1:1" s="22" customFormat="1" x14ac:dyDescent="0.25">
      <c r="A101" s="33"/>
    </row>
    <row r="102" spans="1:1" s="22" customFormat="1" x14ac:dyDescent="0.25">
      <c r="A102" s="33"/>
    </row>
    <row r="103" spans="1:1" s="22" customFormat="1" x14ac:dyDescent="0.25">
      <c r="A103" s="33"/>
    </row>
    <row r="104" spans="1:1" s="22" customFormat="1" x14ac:dyDescent="0.25">
      <c r="A104" s="33"/>
    </row>
    <row r="105" spans="1:1" s="22" customFormat="1" x14ac:dyDescent="0.25">
      <c r="A105" s="33"/>
    </row>
    <row r="106" spans="1:1" s="22" customFormat="1" x14ac:dyDescent="0.25">
      <c r="A106" s="33"/>
    </row>
    <row r="107" spans="1:1" s="22" customFormat="1" x14ac:dyDescent="0.25">
      <c r="A107" s="33"/>
    </row>
    <row r="108" spans="1:1" s="22" customFormat="1" x14ac:dyDescent="0.25">
      <c r="A108" s="33"/>
    </row>
    <row r="109" spans="1:1" s="22" customFormat="1" x14ac:dyDescent="0.25">
      <c r="A109" s="33"/>
    </row>
    <row r="110" spans="1:1" s="22" customFormat="1" x14ac:dyDescent="0.25">
      <c r="A110" s="33"/>
    </row>
    <row r="111" spans="1:1" s="22" customFormat="1" x14ac:dyDescent="0.25">
      <c r="A111" s="33"/>
    </row>
    <row r="112" spans="1:1" s="22" customFormat="1" x14ac:dyDescent="0.25">
      <c r="A112" s="33"/>
    </row>
    <row r="113" spans="1:1" s="22" customFormat="1" x14ac:dyDescent="0.25">
      <c r="A113" s="33"/>
    </row>
    <row r="114" spans="1:1" s="22" customFormat="1" x14ac:dyDescent="0.25">
      <c r="A114" s="33"/>
    </row>
    <row r="115" spans="1:1" s="22" customFormat="1" x14ac:dyDescent="0.25">
      <c r="A115" s="33"/>
    </row>
    <row r="116" spans="1:1" s="22" customFormat="1" x14ac:dyDescent="0.25">
      <c r="A116" s="33"/>
    </row>
    <row r="117" spans="1:1" s="22" customFormat="1" x14ac:dyDescent="0.25">
      <c r="A117" s="33"/>
    </row>
    <row r="118" spans="1:1" s="22" customFormat="1" x14ac:dyDescent="0.25">
      <c r="A118" s="33"/>
    </row>
    <row r="119" spans="1:1" s="22" customFormat="1" x14ac:dyDescent="0.25">
      <c r="A119" s="33"/>
    </row>
    <row r="120" spans="1:1" s="22" customFormat="1" x14ac:dyDescent="0.25">
      <c r="A120" s="33"/>
    </row>
    <row r="121" spans="1:1" s="22" customFormat="1" x14ac:dyDescent="0.25">
      <c r="A121" s="33"/>
    </row>
    <row r="122" spans="1:1" s="22" customFormat="1" x14ac:dyDescent="0.25">
      <c r="A122" s="33"/>
    </row>
    <row r="123" spans="1:1" s="22" customFormat="1" x14ac:dyDescent="0.25">
      <c r="A123" s="33"/>
    </row>
    <row r="124" spans="1:1" s="22" customFormat="1" x14ac:dyDescent="0.25">
      <c r="A124" s="33"/>
    </row>
    <row r="125" spans="1:1" s="22" customFormat="1" x14ac:dyDescent="0.25">
      <c r="A125" s="33"/>
    </row>
    <row r="126" spans="1:1" s="22" customFormat="1" x14ac:dyDescent="0.25">
      <c r="A126" s="33"/>
    </row>
    <row r="127" spans="1:1" s="22" customFormat="1" x14ac:dyDescent="0.25">
      <c r="A127" s="33"/>
    </row>
    <row r="128" spans="1:1" s="22" customFormat="1" x14ac:dyDescent="0.25">
      <c r="A128" s="33"/>
    </row>
    <row r="129" spans="1:1" s="22" customFormat="1" x14ac:dyDescent="0.25">
      <c r="A129" s="33"/>
    </row>
    <row r="130" spans="1:1" s="22" customFormat="1" x14ac:dyDescent="0.25">
      <c r="A130" s="33"/>
    </row>
    <row r="131" spans="1:1" s="22" customFormat="1" x14ac:dyDescent="0.25">
      <c r="A131" s="33"/>
    </row>
    <row r="132" spans="1:1" s="22" customFormat="1" x14ac:dyDescent="0.25">
      <c r="A132" s="33"/>
    </row>
    <row r="133" spans="1:1" s="22" customFormat="1" x14ac:dyDescent="0.25">
      <c r="A133" s="33"/>
    </row>
    <row r="134" spans="1:1" s="22" customFormat="1" x14ac:dyDescent="0.25">
      <c r="A134" s="33"/>
    </row>
    <row r="135" spans="1:1" s="22" customFormat="1" x14ac:dyDescent="0.25">
      <c r="A135" s="33"/>
    </row>
    <row r="136" spans="1:1" s="22" customFormat="1" x14ac:dyDescent="0.25">
      <c r="A136" s="33"/>
    </row>
    <row r="137" spans="1:1" s="22" customFormat="1" x14ac:dyDescent="0.25">
      <c r="A137" s="33"/>
    </row>
    <row r="138" spans="1:1" s="22" customFormat="1" x14ac:dyDescent="0.25">
      <c r="A138" s="33"/>
    </row>
    <row r="139" spans="1:1" s="22" customFormat="1" x14ac:dyDescent="0.25">
      <c r="A139" s="33"/>
    </row>
    <row r="140" spans="1:1" s="22" customFormat="1" x14ac:dyDescent="0.25">
      <c r="A140" s="33"/>
    </row>
    <row r="141" spans="1:1" s="22" customFormat="1" x14ac:dyDescent="0.25">
      <c r="A141" s="33"/>
    </row>
    <row r="142" spans="1:1" s="22" customFormat="1" x14ac:dyDescent="0.25">
      <c r="A142" s="33"/>
    </row>
    <row r="143" spans="1:1" s="22" customFormat="1" x14ac:dyDescent="0.25">
      <c r="A143" s="33"/>
    </row>
    <row r="144" spans="1:1" s="22" customFormat="1" x14ac:dyDescent="0.25">
      <c r="A144" s="33"/>
    </row>
    <row r="145" spans="1:1" s="22" customFormat="1" x14ac:dyDescent="0.25">
      <c r="A145" s="33"/>
    </row>
    <row r="146" spans="1:1" s="22" customFormat="1" x14ac:dyDescent="0.25">
      <c r="A146" s="33"/>
    </row>
    <row r="147" spans="1:1" s="22" customFormat="1" x14ac:dyDescent="0.25">
      <c r="A147" s="33"/>
    </row>
    <row r="148" spans="1:1" s="22" customFormat="1" x14ac:dyDescent="0.25">
      <c r="A148" s="33"/>
    </row>
    <row r="149" spans="1:1" s="22" customFormat="1" x14ac:dyDescent="0.25">
      <c r="A149" s="33"/>
    </row>
    <row r="150" spans="1:1" s="22" customFormat="1" x14ac:dyDescent="0.25">
      <c r="A150" s="33"/>
    </row>
    <row r="151" spans="1:1" s="22" customFormat="1" x14ac:dyDescent="0.25">
      <c r="A151" s="33"/>
    </row>
    <row r="152" spans="1:1" s="22" customFormat="1" x14ac:dyDescent="0.25">
      <c r="A152" s="33"/>
    </row>
    <row r="153" spans="1:1" s="22" customFormat="1" x14ac:dyDescent="0.25">
      <c r="A153" s="33"/>
    </row>
    <row r="154" spans="1:1" s="22" customFormat="1" x14ac:dyDescent="0.25">
      <c r="A154" s="33"/>
    </row>
    <row r="155" spans="1:1" s="22" customFormat="1" x14ac:dyDescent="0.25">
      <c r="A155" s="33"/>
    </row>
    <row r="156" spans="1:1" s="22" customFormat="1" x14ac:dyDescent="0.25">
      <c r="A156" s="33"/>
    </row>
    <row r="157" spans="1:1" s="22" customFormat="1" x14ac:dyDescent="0.25">
      <c r="A157" s="33"/>
    </row>
    <row r="158" spans="1:1" s="22" customFormat="1" x14ac:dyDescent="0.25">
      <c r="A158" s="33"/>
    </row>
    <row r="159" spans="1:1" s="22" customFormat="1" x14ac:dyDescent="0.25">
      <c r="A159" s="33"/>
    </row>
    <row r="160" spans="1:1" s="22" customFormat="1" x14ac:dyDescent="0.25">
      <c r="A160" s="33"/>
    </row>
    <row r="161" spans="1:1" s="22" customFormat="1" x14ac:dyDescent="0.25">
      <c r="A161" s="33"/>
    </row>
    <row r="162" spans="1:1" s="22" customFormat="1" x14ac:dyDescent="0.25">
      <c r="A162" s="33"/>
    </row>
    <row r="163" spans="1:1" s="22" customFormat="1" x14ac:dyDescent="0.25">
      <c r="A163" s="33"/>
    </row>
    <row r="164" spans="1:1" s="22" customFormat="1" x14ac:dyDescent="0.25">
      <c r="A164" s="33"/>
    </row>
    <row r="165" spans="1:1" s="22" customFormat="1" x14ac:dyDescent="0.25">
      <c r="A165" s="33"/>
    </row>
    <row r="166" spans="1:1" s="22" customFormat="1" x14ac:dyDescent="0.25">
      <c r="A166" s="33"/>
    </row>
    <row r="167" spans="1:1" s="22" customFormat="1" x14ac:dyDescent="0.25">
      <c r="A167" s="33"/>
    </row>
    <row r="168" spans="1:1" s="22" customFormat="1" x14ac:dyDescent="0.25">
      <c r="A168" s="33"/>
    </row>
    <row r="169" spans="1:1" s="22" customFormat="1" x14ac:dyDescent="0.25">
      <c r="A169" s="33"/>
    </row>
    <row r="170" spans="1:1" s="22" customFormat="1" x14ac:dyDescent="0.25">
      <c r="A170" s="33"/>
    </row>
    <row r="171" spans="1:1" s="22" customFormat="1" x14ac:dyDescent="0.25">
      <c r="A171" s="33"/>
    </row>
    <row r="172" spans="1:1" s="22" customFormat="1" x14ac:dyDescent="0.25">
      <c r="A172" s="33"/>
    </row>
    <row r="173" spans="1:1" s="22" customFormat="1" x14ac:dyDescent="0.25">
      <c r="A173" s="33"/>
    </row>
    <row r="174" spans="1:1" s="22" customFormat="1" x14ac:dyDescent="0.25">
      <c r="A174" s="33"/>
    </row>
    <row r="175" spans="1:1" s="22" customFormat="1" x14ac:dyDescent="0.25">
      <c r="A175" s="33"/>
    </row>
    <row r="176" spans="1:1" s="22" customFormat="1" x14ac:dyDescent="0.25">
      <c r="A176" s="33"/>
    </row>
    <row r="177" spans="1:1" s="22" customFormat="1" x14ac:dyDescent="0.25">
      <c r="A177" s="33"/>
    </row>
    <row r="178" spans="1:1" s="22" customFormat="1" x14ac:dyDescent="0.25">
      <c r="A178" s="33"/>
    </row>
    <row r="179" spans="1:1" s="22" customFormat="1" x14ac:dyDescent="0.25">
      <c r="A179" s="33"/>
    </row>
    <row r="180" spans="1:1" s="22" customFormat="1" x14ac:dyDescent="0.25">
      <c r="A180" s="33"/>
    </row>
    <row r="181" spans="1:1" s="22" customFormat="1" x14ac:dyDescent="0.25">
      <c r="A181" s="33"/>
    </row>
    <row r="182" spans="1:1" s="22" customFormat="1" x14ac:dyDescent="0.25">
      <c r="A182" s="33"/>
    </row>
    <row r="183" spans="1:1" s="22" customFormat="1" x14ac:dyDescent="0.25">
      <c r="A183" s="33"/>
    </row>
    <row r="184" spans="1:1" s="22" customFormat="1" x14ac:dyDescent="0.25">
      <c r="A184" s="33"/>
    </row>
    <row r="185" spans="1:1" s="22" customFormat="1" x14ac:dyDescent="0.25">
      <c r="A185" s="33"/>
    </row>
    <row r="186" spans="1:1" s="22" customFormat="1" x14ac:dyDescent="0.25">
      <c r="A186" s="33"/>
    </row>
    <row r="187" spans="1:1" s="22" customFormat="1" x14ac:dyDescent="0.25">
      <c r="A187" s="33"/>
    </row>
    <row r="188" spans="1:1" s="22" customFormat="1" x14ac:dyDescent="0.25">
      <c r="A188" s="33"/>
    </row>
    <row r="189" spans="1:1" s="22" customFormat="1" x14ac:dyDescent="0.25">
      <c r="A189" s="33"/>
    </row>
    <row r="190" spans="1:1" s="22" customFormat="1" x14ac:dyDescent="0.25">
      <c r="A190" s="33"/>
    </row>
    <row r="191" spans="1:1" s="22" customFormat="1" x14ac:dyDescent="0.25">
      <c r="A191" s="33"/>
    </row>
    <row r="192" spans="1:1" s="22" customFormat="1" x14ac:dyDescent="0.25">
      <c r="A192" s="33"/>
    </row>
    <row r="193" spans="1:1" s="22" customFormat="1" x14ac:dyDescent="0.25">
      <c r="A193" s="33"/>
    </row>
    <row r="194" spans="1:1" s="22" customFormat="1" x14ac:dyDescent="0.25">
      <c r="A194" s="33"/>
    </row>
    <row r="195" spans="1:1" s="22" customFormat="1" x14ac:dyDescent="0.25">
      <c r="A195" s="33"/>
    </row>
    <row r="196" spans="1:1" s="22" customFormat="1" x14ac:dyDescent="0.25">
      <c r="A196" s="33"/>
    </row>
    <row r="197" spans="1:1" s="22" customFormat="1" x14ac:dyDescent="0.25">
      <c r="A197" s="33"/>
    </row>
    <row r="198" spans="1:1" s="22" customFormat="1" x14ac:dyDescent="0.25">
      <c r="A198" s="33"/>
    </row>
    <row r="199" spans="1:1" s="22" customFormat="1" x14ac:dyDescent="0.25">
      <c r="A199" s="33"/>
    </row>
    <row r="200" spans="1:1" s="22" customFormat="1" x14ac:dyDescent="0.25">
      <c r="A200" s="33"/>
    </row>
    <row r="201" spans="1:1" s="22" customFormat="1" x14ac:dyDescent="0.25">
      <c r="A201" s="33"/>
    </row>
    <row r="202" spans="1:1" s="22" customFormat="1" x14ac:dyDescent="0.25">
      <c r="A202" s="33"/>
    </row>
    <row r="203" spans="1:1" s="22" customFormat="1" x14ac:dyDescent="0.25">
      <c r="A203" s="33"/>
    </row>
    <row r="204" spans="1:1" s="22" customFormat="1" x14ac:dyDescent="0.25">
      <c r="A204" s="33"/>
    </row>
    <row r="205" spans="1:1" s="22" customFormat="1" x14ac:dyDescent="0.25">
      <c r="A205" s="33"/>
    </row>
    <row r="206" spans="1:1" s="22" customFormat="1" x14ac:dyDescent="0.25">
      <c r="A206" s="33"/>
    </row>
    <row r="207" spans="1:1" s="22" customFormat="1" x14ac:dyDescent="0.25">
      <c r="A207" s="33"/>
    </row>
    <row r="208" spans="1:1" s="22" customFormat="1" x14ac:dyDescent="0.25">
      <c r="A208" s="33"/>
    </row>
    <row r="209" spans="1:1" s="22" customFormat="1" x14ac:dyDescent="0.25">
      <c r="A209" s="33"/>
    </row>
    <row r="210" spans="1:1" s="22" customFormat="1" x14ac:dyDescent="0.25">
      <c r="A210" s="33"/>
    </row>
    <row r="211" spans="1:1" s="22" customFormat="1" x14ac:dyDescent="0.25">
      <c r="A211" s="33"/>
    </row>
    <row r="212" spans="1:1" s="22" customFormat="1" x14ac:dyDescent="0.25">
      <c r="A212" s="33"/>
    </row>
    <row r="213" spans="1:1" s="22" customFormat="1" x14ac:dyDescent="0.25">
      <c r="A213" s="33"/>
    </row>
    <row r="214" spans="1:1" s="22" customFormat="1" x14ac:dyDescent="0.25">
      <c r="A214" s="33"/>
    </row>
    <row r="215" spans="1:1" s="22" customFormat="1" x14ac:dyDescent="0.25">
      <c r="A215" s="33"/>
    </row>
    <row r="216" spans="1:1" s="22" customFormat="1" x14ac:dyDescent="0.25">
      <c r="A216" s="33"/>
    </row>
    <row r="217" spans="1:1" s="22" customFormat="1" x14ac:dyDescent="0.25">
      <c r="A217" s="33"/>
    </row>
    <row r="218" spans="1:1" s="22" customFormat="1" x14ac:dyDescent="0.25">
      <c r="A218" s="33"/>
    </row>
    <row r="219" spans="1:1" s="22" customFormat="1" x14ac:dyDescent="0.25">
      <c r="A219" s="33"/>
    </row>
    <row r="220" spans="1:1" s="22" customFormat="1" x14ac:dyDescent="0.25">
      <c r="A220" s="33"/>
    </row>
    <row r="221" spans="1:1" s="22" customFormat="1" x14ac:dyDescent="0.25">
      <c r="A221" s="33"/>
    </row>
    <row r="222" spans="1:1" s="22" customFormat="1" x14ac:dyDescent="0.25">
      <c r="A222" s="33"/>
    </row>
    <row r="223" spans="1:1" s="22" customFormat="1" x14ac:dyDescent="0.25">
      <c r="A223" s="33"/>
    </row>
    <row r="224" spans="1:1" s="22" customFormat="1" x14ac:dyDescent="0.25">
      <c r="A224" s="33"/>
    </row>
    <row r="225" spans="1:1" s="22" customFormat="1" x14ac:dyDescent="0.25">
      <c r="A225" s="33"/>
    </row>
    <row r="226" spans="1:1" s="22" customFormat="1" x14ac:dyDescent="0.25">
      <c r="A226" s="33"/>
    </row>
    <row r="227" spans="1:1" s="22" customFormat="1" x14ac:dyDescent="0.25">
      <c r="A227" s="33"/>
    </row>
    <row r="228" spans="1:1" s="22" customFormat="1" x14ac:dyDescent="0.25">
      <c r="A228" s="33"/>
    </row>
    <row r="229" spans="1:1" s="22" customFormat="1" x14ac:dyDescent="0.25">
      <c r="A229" s="33"/>
    </row>
  </sheetData>
  <phoneticPr fontId="3" type="noConversion"/>
  <pageMargins left="0.7" right="0.7" top="0.75" bottom="0.75" header="0.3" footer="0.3"/>
  <pageSetup scale="42"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ColWidth="8.85546875" defaultRowHeight="15" x14ac:dyDescent="0.25"/>
  <cols>
    <col min="1" max="1" width="21.7109375" customWidth="1"/>
  </cols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Apple DCF</vt:lpstr>
      <vt:lpstr>Sheet2</vt:lpstr>
      <vt:lpstr>Sheet3</vt:lpstr>
      <vt:lpstr>'Apple DCF'!Print_Area</vt:lpstr>
    </vt:vector>
  </TitlesOfParts>
  <Company/>
  <LinksUpToDate>false</LinksUpToDate>
  <SharedDoc>false</SharedDoc>
  <HyperlinksChanged>false</HyperlinksChanged>
  <AppVersion>14.0300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