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jpeg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60" tabRatio="500" firstSheet="2" activeTab="6"/>
  </bookViews>
  <sheets>
    <sheet name="5 Minute Quickscan" sheetId="1" r:id="rId1"/>
    <sheet name="Data Input" sheetId="2" r:id="rId2"/>
    <sheet name="Value Indicators" sheetId="3" r:id="rId3"/>
    <sheet name="PE Ratio valuation" sheetId="4" r:id="rId4"/>
    <sheet name="FCF valuation" sheetId="5" r:id="rId5"/>
    <sheet name="Piotroski F score" sheetId="6" r:id="rId6"/>
    <sheet name="Altman Z Score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7" l="1"/>
  <c r="C14" i="7"/>
  <c r="B15" i="7"/>
  <c r="C15" i="7"/>
  <c r="B16" i="7"/>
  <c r="C16" i="7"/>
  <c r="B17" i="7"/>
  <c r="C17" i="7"/>
  <c r="B18" i="7"/>
  <c r="C18" i="7"/>
  <c r="C20" i="7"/>
  <c r="C14" i="6"/>
  <c r="K5" i="5"/>
  <c r="D30" i="5"/>
  <c r="E30" i="5"/>
  <c r="E31" i="5"/>
  <c r="F30" i="5"/>
  <c r="F31" i="5"/>
  <c r="G30" i="5"/>
  <c r="G31" i="5"/>
  <c r="H30" i="5"/>
  <c r="H31" i="5"/>
  <c r="I30" i="5"/>
  <c r="I31" i="5"/>
  <c r="J30" i="5"/>
  <c r="J31" i="5"/>
  <c r="K30" i="5"/>
  <c r="K31" i="5"/>
  <c r="L30" i="5"/>
  <c r="L31" i="5"/>
  <c r="M30" i="5"/>
  <c r="M31" i="5"/>
  <c r="N30" i="5"/>
  <c r="N31" i="5"/>
  <c r="O30" i="5"/>
  <c r="N32" i="5"/>
  <c r="D33" i="5"/>
  <c r="D34" i="5"/>
  <c r="F39" i="5"/>
  <c r="F40" i="5"/>
  <c r="C38" i="4"/>
  <c r="C18" i="4"/>
  <c r="C21" i="4"/>
  <c r="C22" i="4"/>
  <c r="C30" i="4"/>
  <c r="C7" i="4"/>
  <c r="C24" i="4"/>
  <c r="C32" i="4"/>
  <c r="C26" i="4"/>
  <c r="C34" i="4"/>
  <c r="C40" i="4"/>
  <c r="C41" i="4"/>
  <c r="F144" i="3"/>
  <c r="G144" i="3"/>
  <c r="E147" i="3"/>
  <c r="E144" i="3"/>
  <c r="D147" i="3"/>
  <c r="D144" i="3"/>
  <c r="C147" i="3"/>
  <c r="C144" i="3"/>
  <c r="B147" i="3"/>
  <c r="E136" i="3"/>
  <c r="D136" i="3"/>
  <c r="C136" i="3"/>
  <c r="B136" i="3"/>
  <c r="G112" i="3"/>
  <c r="G118" i="3"/>
  <c r="G125" i="3"/>
  <c r="G126" i="3"/>
  <c r="G127" i="3"/>
  <c r="F112" i="3"/>
  <c r="F118" i="3"/>
  <c r="F125" i="3"/>
  <c r="F126" i="3"/>
  <c r="F127" i="3"/>
  <c r="E112" i="3"/>
  <c r="E118" i="3"/>
  <c r="E125" i="3"/>
  <c r="E126" i="3"/>
  <c r="E127" i="3"/>
  <c r="D112" i="3"/>
  <c r="D118" i="3"/>
  <c r="D125" i="3"/>
  <c r="D126" i="3"/>
  <c r="D127" i="3"/>
  <c r="C112" i="3"/>
  <c r="C118" i="3"/>
  <c r="C125" i="3"/>
  <c r="C126" i="3"/>
  <c r="C127" i="3"/>
  <c r="G119" i="3"/>
  <c r="G120" i="3"/>
  <c r="F119" i="3"/>
  <c r="F120" i="3"/>
  <c r="E119" i="3"/>
  <c r="E120" i="3"/>
  <c r="D119" i="3"/>
  <c r="D120" i="3"/>
  <c r="C119" i="3"/>
  <c r="C120" i="3"/>
  <c r="G114" i="3"/>
  <c r="F114" i="3"/>
  <c r="E114" i="3"/>
  <c r="D114" i="3"/>
  <c r="C114" i="3"/>
  <c r="G104" i="3"/>
  <c r="G93" i="3"/>
  <c r="G105" i="3"/>
  <c r="G106" i="3"/>
  <c r="F104" i="3"/>
  <c r="F93" i="3"/>
  <c r="F105" i="3"/>
  <c r="F106" i="3"/>
  <c r="E104" i="3"/>
  <c r="E93" i="3"/>
  <c r="E105" i="3"/>
  <c r="E106" i="3"/>
  <c r="D104" i="3"/>
  <c r="D93" i="3"/>
  <c r="D105" i="3"/>
  <c r="D106" i="3"/>
  <c r="C104" i="3"/>
  <c r="C93" i="3"/>
  <c r="C105" i="3"/>
  <c r="C106" i="3"/>
  <c r="G98" i="3"/>
  <c r="G100" i="3"/>
  <c r="F98" i="3"/>
  <c r="F100" i="3"/>
  <c r="E98" i="3"/>
  <c r="E100" i="3"/>
  <c r="D98" i="3"/>
  <c r="D100" i="3"/>
  <c r="C98" i="3"/>
  <c r="C100" i="3"/>
  <c r="G99" i="3"/>
  <c r="F99" i="3"/>
  <c r="E99" i="3"/>
  <c r="D99" i="3"/>
  <c r="C99" i="3"/>
  <c r="G91" i="3"/>
  <c r="G94" i="3"/>
  <c r="F91" i="3"/>
  <c r="F94" i="3"/>
  <c r="E91" i="3"/>
  <c r="E94" i="3"/>
  <c r="D91" i="3"/>
  <c r="D94" i="3"/>
  <c r="C91" i="3"/>
  <c r="C94" i="3"/>
  <c r="G87" i="3"/>
  <c r="F87" i="3"/>
  <c r="E87" i="3"/>
  <c r="D87" i="3"/>
  <c r="C87" i="3"/>
  <c r="G43" i="3"/>
  <c r="G77" i="3"/>
  <c r="G76" i="3"/>
  <c r="G78" i="3"/>
  <c r="F43" i="3"/>
  <c r="F77" i="3"/>
  <c r="F76" i="3"/>
  <c r="F78" i="3"/>
  <c r="E43" i="3"/>
  <c r="E77" i="3"/>
  <c r="E76" i="3"/>
  <c r="E78" i="3"/>
  <c r="D43" i="3"/>
  <c r="D77" i="3"/>
  <c r="D76" i="3"/>
  <c r="D78" i="3"/>
  <c r="C43" i="3"/>
  <c r="C77" i="3"/>
  <c r="C76" i="3"/>
  <c r="C78" i="3"/>
  <c r="G70" i="3"/>
  <c r="G62" i="3"/>
  <c r="G69" i="3"/>
  <c r="G71" i="3"/>
  <c r="F70" i="3"/>
  <c r="F62" i="3"/>
  <c r="F69" i="3"/>
  <c r="F71" i="3"/>
  <c r="E70" i="3"/>
  <c r="E62" i="3"/>
  <c r="E69" i="3"/>
  <c r="E71" i="3"/>
  <c r="D70" i="3"/>
  <c r="D62" i="3"/>
  <c r="D69" i="3"/>
  <c r="D71" i="3"/>
  <c r="C70" i="3"/>
  <c r="C62" i="3"/>
  <c r="C69" i="3"/>
  <c r="C71" i="3"/>
  <c r="G64" i="3"/>
  <c r="F64" i="3"/>
  <c r="E64" i="3"/>
  <c r="D64" i="3"/>
  <c r="C64" i="3"/>
  <c r="G55" i="3"/>
  <c r="G57" i="3"/>
  <c r="F55" i="3"/>
  <c r="F57" i="3"/>
  <c r="E55" i="3"/>
  <c r="E57" i="3"/>
  <c r="D55" i="3"/>
  <c r="D57" i="3"/>
  <c r="C55" i="3"/>
  <c r="C57" i="3"/>
  <c r="E50" i="3"/>
  <c r="D50" i="3"/>
  <c r="C50" i="3"/>
  <c r="B50" i="3"/>
  <c r="E46" i="3"/>
  <c r="D46" i="3"/>
  <c r="C46" i="3"/>
  <c r="B46" i="3"/>
  <c r="E35" i="3"/>
  <c r="D35" i="3"/>
  <c r="C35" i="3"/>
  <c r="B35" i="3"/>
  <c r="E26" i="3"/>
  <c r="D26" i="3"/>
  <c r="C26" i="3"/>
  <c r="B26" i="3"/>
  <c r="E18" i="3"/>
  <c r="D18" i="3"/>
  <c r="C18" i="3"/>
  <c r="B18" i="3"/>
  <c r="G14" i="3"/>
  <c r="F14" i="3"/>
  <c r="E14" i="3"/>
  <c r="D14" i="3"/>
  <c r="G9" i="3"/>
  <c r="G10" i="3"/>
  <c r="F9" i="3"/>
  <c r="F10" i="3"/>
  <c r="E9" i="3"/>
  <c r="E10" i="3"/>
  <c r="D9" i="3"/>
  <c r="D10" i="3"/>
  <c r="C9" i="3"/>
  <c r="C10" i="3"/>
  <c r="A57" i="2"/>
  <c r="A56" i="2"/>
  <c r="A55" i="2"/>
  <c r="A54" i="2"/>
  <c r="A53" i="2"/>
  <c r="A52" i="2"/>
  <c r="A51" i="2"/>
  <c r="A50" i="2"/>
  <c r="A49" i="2"/>
  <c r="A48" i="2"/>
  <c r="F41" i="2"/>
  <c r="E41" i="2"/>
  <c r="D41" i="2"/>
  <c r="C41" i="2"/>
  <c r="B41" i="2"/>
  <c r="F37" i="2"/>
  <c r="E37" i="2"/>
  <c r="D37" i="2"/>
  <c r="C37" i="2"/>
  <c r="B37" i="2"/>
  <c r="F27" i="2"/>
  <c r="E27" i="2"/>
  <c r="D27" i="2"/>
  <c r="C27" i="2"/>
  <c r="B27" i="2"/>
  <c r="F18" i="2"/>
  <c r="E18" i="2"/>
  <c r="D18" i="2"/>
  <c r="C18" i="2"/>
  <c r="B18" i="2"/>
  <c r="B9" i="2"/>
  <c r="B7" i="2"/>
</calcChain>
</file>

<file path=xl/sharedStrings.xml><?xml version="1.0" encoding="utf-8"?>
<sst xmlns="http://schemas.openxmlformats.org/spreadsheetml/2006/main" count="324" uniqueCount="245">
  <si>
    <t>5 Minute QuickScan</t>
  </si>
  <si>
    <t>Date:</t>
  </si>
  <si>
    <t>Basic Quality Standards</t>
  </si>
  <si>
    <t>Question 2</t>
  </si>
  <si>
    <t>Question 3</t>
  </si>
  <si>
    <t>Question 4</t>
  </si>
  <si>
    <t>Question 5</t>
  </si>
  <si>
    <t>Question 6</t>
  </si>
  <si>
    <t>Question 7</t>
  </si>
  <si>
    <t>Decision</t>
  </si>
  <si>
    <t>Company Name</t>
  </si>
  <si>
    <t>Ticker</t>
  </si>
  <si>
    <t>.OB or .PK?</t>
  </si>
  <si>
    <t>Mkt Cap &lt; $500M ?</t>
  </si>
  <si>
    <t>Recent IPO?</t>
  </si>
  <si>
    <t>3 to 5 years Positive EBIT?</t>
  </si>
  <si>
    <t>3 to 5 years of  positive Cash Flow from Operating Activities?</t>
  </si>
  <si>
    <t>5 years of ROE &gt; 10%?</t>
  </si>
  <si>
    <t>5 Years of Debt to Equity Ratio &lt; 1?</t>
  </si>
  <si>
    <t>Recent Price to Book Ratio &lt; 2?</t>
  </si>
  <si>
    <t>3 years of only positive net Tangible Assets?</t>
  </si>
  <si>
    <t>Keep and Conitue to Analyze or Drop Company?</t>
  </si>
  <si>
    <t>American Express Co.</t>
  </si>
  <si>
    <t>AXP</t>
  </si>
  <si>
    <t>No</t>
  </si>
  <si>
    <t>yes</t>
  </si>
  <si>
    <t>Yes</t>
  </si>
  <si>
    <t>Stock Ticker</t>
  </si>
  <si>
    <t>Year</t>
  </si>
  <si>
    <t>Quote</t>
  </si>
  <si>
    <t>Current Price</t>
  </si>
  <si>
    <t>P/E</t>
  </si>
  <si>
    <t>Market Cap</t>
  </si>
  <si>
    <t>[in million USD]</t>
  </si>
  <si>
    <t>Shares Outstanding</t>
  </si>
  <si>
    <t>[in million]</t>
  </si>
  <si>
    <t>Earnings</t>
  </si>
  <si>
    <t>Earnings Growth Rate</t>
  </si>
  <si>
    <t>Company [Next 5 Years]</t>
  </si>
  <si>
    <t>[in decimal]</t>
  </si>
  <si>
    <t>Financials</t>
  </si>
  <si>
    <t>Income Statement</t>
  </si>
  <si>
    <t>Total Revenue (Sales)</t>
  </si>
  <si>
    <t>Gross Profit</t>
  </si>
  <si>
    <t>Operating Income</t>
  </si>
  <si>
    <t>Net Income</t>
  </si>
  <si>
    <t>Interest Expense, Supplemental</t>
  </si>
  <si>
    <t>Diluted Normalized EPS</t>
  </si>
  <si>
    <t>Balance Sheet</t>
  </si>
  <si>
    <t>Total Inventory</t>
  </si>
  <si>
    <t>Total Current Assets</t>
  </si>
  <si>
    <t>Total Assets</t>
  </si>
  <si>
    <t>Total Current Liabilities</t>
  </si>
  <si>
    <t>Total Long Term Debt</t>
  </si>
  <si>
    <t>Total Liabilities</t>
  </si>
  <si>
    <t>Retained Earnings (Accumulated Deficit)</t>
  </si>
  <si>
    <t>Total Equity</t>
  </si>
  <si>
    <t>Total Common Shares Outstanding</t>
  </si>
  <si>
    <t>Cash Flow Statement</t>
  </si>
  <si>
    <t>Cash from Operating Activities</t>
  </si>
  <si>
    <t>Capital Expenditures (Ignore the negative sign)</t>
  </si>
  <si>
    <t>Fundamentals</t>
  </si>
  <si>
    <t>Key Ratio [10 Year Summary]</t>
  </si>
  <si>
    <t>Avg P/E</t>
  </si>
  <si>
    <t>Book Value/ Share</t>
  </si>
  <si>
    <t>Value Indicators Worksheet</t>
  </si>
  <si>
    <t>ROIC - ROIC &gt; 12% since most businesses lends between 8% and 12%</t>
  </si>
  <si>
    <t>Interest</t>
  </si>
  <si>
    <t>Long-Term Debt</t>
  </si>
  <si>
    <t>Invested Capital</t>
  </si>
  <si>
    <t>ROIC</t>
  </si>
  <si>
    <t>Equity Growth Rates:</t>
  </si>
  <si>
    <t>BVPS</t>
  </si>
  <si>
    <t>4-year Growth rate</t>
  </si>
  <si>
    <t>3-year Growth rate</t>
  </si>
  <si>
    <t>2-year Growth rate</t>
  </si>
  <si>
    <t>1-year Growth rate</t>
  </si>
  <si>
    <t>EPS Growth Rates:</t>
  </si>
  <si>
    <t>EPS</t>
  </si>
  <si>
    <t>Sales Growth Rates</t>
  </si>
  <si>
    <t>Sales (Revenue)</t>
  </si>
  <si>
    <t>Sales Growth Rates:</t>
  </si>
  <si>
    <t>Operating Cash Flow (OCF) and Free Cash Flow (FCF) growth rates</t>
  </si>
  <si>
    <t>OCF</t>
  </si>
  <si>
    <t>CAPEX</t>
  </si>
  <si>
    <t>FCF</t>
  </si>
  <si>
    <t>OCF Growth Rates:</t>
  </si>
  <si>
    <t>FCF Growth Rates:</t>
  </si>
  <si>
    <r>
      <t xml:space="preserve">Gross Margin </t>
    </r>
    <r>
      <rPr>
        <sz val="9"/>
        <rFont val="Tahoma"/>
        <family val="2"/>
      </rPr>
      <t>(&gt;40% is sign of durable competitive advantage; &lt;20% is indicator of highly competitive industry).</t>
    </r>
  </si>
  <si>
    <t>Sales</t>
  </si>
  <si>
    <t>Gross Margin</t>
  </si>
  <si>
    <r>
      <t>Operating Margin (</t>
    </r>
    <r>
      <rPr>
        <sz val="9"/>
        <rFont val="Tahoma"/>
        <family val="2"/>
      </rPr>
      <t>&gt;= industry or sector average</t>
    </r>
    <r>
      <rPr>
        <b/>
        <sz val="9"/>
        <rFont val="Tahoma"/>
        <family val="2"/>
      </rPr>
      <t>). (Industry: … ...%; Average of competitors: … …%)</t>
    </r>
  </si>
  <si>
    <t>Operating Profit</t>
  </si>
  <si>
    <t>Operating Margin</t>
  </si>
  <si>
    <r>
      <t xml:space="preserve">Net Margin </t>
    </r>
    <r>
      <rPr>
        <sz val="9"/>
        <rFont val="Tahoma"/>
        <family val="2"/>
      </rPr>
      <t>(&gt; 20% =&gt; competitive advantage; &lt;10% sign of competition)</t>
    </r>
  </si>
  <si>
    <t>Net Margin</t>
  </si>
  <si>
    <r>
      <t>Free Cash Flow Margin (</t>
    </r>
    <r>
      <rPr>
        <sz val="9"/>
        <rFont val="Tahoma"/>
        <family val="2"/>
      </rPr>
      <t>&gt;= 10% indicator of competitive advantage; must not be &lt; 3%</t>
    </r>
    <r>
      <rPr>
        <b/>
        <sz val="9"/>
        <rFont val="Tahoma"/>
        <family val="2"/>
      </rPr>
      <t>).</t>
    </r>
  </si>
  <si>
    <t>Free Cash Flow</t>
  </si>
  <si>
    <t>FCF Margin</t>
  </si>
  <si>
    <t>Short-Term Financial Health</t>
  </si>
  <si>
    <t>Current Ratio   ≥ 2</t>
  </si>
  <si>
    <t>Current Assets</t>
  </si>
  <si>
    <t>Current Liabilities</t>
  </si>
  <si>
    <t>Current Ratio</t>
  </si>
  <si>
    <t>Quick Ratio ≥ 1.5</t>
  </si>
  <si>
    <t>Inventory</t>
  </si>
  <si>
    <t>Quick Ratio</t>
  </si>
  <si>
    <t xml:space="preserve"> Interest Coverage Ratio ≥ 5 minimum; but preferably ≥ 10 (except utilities ≥ 2)</t>
  </si>
  <si>
    <t>EBIT</t>
  </si>
  <si>
    <t>Interest Expense</t>
  </si>
  <si>
    <t>Interest Coverage</t>
  </si>
  <si>
    <t>Operating Cash Flow Ratio ≥ 1</t>
  </si>
  <si>
    <t>OCF Ratio</t>
  </si>
  <si>
    <t>Long-Term Financial Health</t>
  </si>
  <si>
    <t>Leverage Ratio: Debt to Total Asset Ratio ≤ 0.50 except utilities for which 1.0 is acceptable</t>
  </si>
  <si>
    <t>Debt to Assets Ratio</t>
  </si>
  <si>
    <t xml:space="preserve">Debt to Equity Ratio ≤ 1 </t>
  </si>
  <si>
    <t>Debt - Equity Ratio</t>
  </si>
  <si>
    <t>How long will it take the company to pay off its long-term debt using Cash Flow from Operations? 3 years or less.</t>
  </si>
  <si>
    <t>How long to payoff Debt</t>
  </si>
  <si>
    <t>Growth in Retained Earnings</t>
  </si>
  <si>
    <t>Retained Earnings</t>
  </si>
  <si>
    <t>CAPEX Per Share</t>
  </si>
  <si>
    <t>Common Stock Outstanding</t>
  </si>
  <si>
    <t>CAPEX per Share</t>
  </si>
  <si>
    <t>Estimating Intrinsic Value (P-E Ratio Approach), comparing with Price and Making Purchase Decision based on Margin of Safety</t>
  </si>
  <si>
    <t>Step 8</t>
  </si>
  <si>
    <t>Step 8A: Gathering Data</t>
  </si>
  <si>
    <t>P/E Ratios</t>
  </si>
  <si>
    <t>Latest</t>
  </si>
  <si>
    <t>Year -1</t>
  </si>
  <si>
    <t>Year -2</t>
  </si>
  <si>
    <t>Year -3</t>
  </si>
  <si>
    <t>Year -4</t>
  </si>
  <si>
    <t>Year -5</t>
  </si>
  <si>
    <t>Year -6</t>
  </si>
  <si>
    <t>Year -7</t>
  </si>
  <si>
    <t>Year -8</t>
  </si>
  <si>
    <t>Year -9</t>
  </si>
  <si>
    <t>Year -10</t>
  </si>
  <si>
    <t>P/E Ratio</t>
  </si>
  <si>
    <t>Average P/E Ratio</t>
  </si>
  <si>
    <t>**(Check the formula for average)</t>
  </si>
  <si>
    <t>Analysts Estimate of EPS Growth Rate:</t>
  </si>
  <si>
    <t>(see MSN Moneycentral Analysts Estimates)</t>
  </si>
  <si>
    <t>Latest (full year) EPS =</t>
  </si>
  <si>
    <t>k =</t>
  </si>
  <si>
    <t>(may try different numbers based on what you know about the company's moat, financial health and historical ROA).</t>
  </si>
  <si>
    <t>Current Price =</t>
  </si>
  <si>
    <t>Step 8B:</t>
  </si>
  <si>
    <t>Using the Data</t>
  </si>
  <si>
    <r>
      <t>EPS at end of last year, EPS</t>
    </r>
    <r>
      <rPr>
        <b/>
        <vertAlign val="subscript"/>
        <sz val="9"/>
        <rFont val="Tahoma"/>
        <family val="2"/>
      </rPr>
      <t>0</t>
    </r>
    <r>
      <rPr>
        <b/>
        <sz val="9"/>
        <rFont val="Tahoma"/>
        <family val="2"/>
      </rPr>
      <t xml:space="preserve"> =</t>
    </r>
  </si>
  <si>
    <t xml:space="preserve">1. Average EPS growth rate = </t>
  </si>
  <si>
    <t xml:space="preserve">(use the EPS growth rate over the longest period (3-, 4- or 5- year period) you can find) </t>
  </si>
  <si>
    <t xml:space="preserve">2. Average Equity growth rate = </t>
  </si>
  <si>
    <t xml:space="preserve">(use the BVPS growth rate over the longest period (3-, 4- or 5- year period) you can find) </t>
  </si>
  <si>
    <t xml:space="preserve">3. Analysts estimate of EPS growth rate = </t>
  </si>
  <si>
    <t>(see above)</t>
  </si>
  <si>
    <t xml:space="preserve">Equity Growth Rate to use for Calculations = </t>
  </si>
  <si>
    <t>(This the lowest of the three numbers above)</t>
  </si>
  <si>
    <t xml:space="preserve">Average P/E over 5 years or 10 years = </t>
  </si>
  <si>
    <t xml:space="preserve">k, the required rate of return = </t>
  </si>
  <si>
    <t>Step 9:</t>
  </si>
  <si>
    <t>Estimating what the business is worth</t>
  </si>
  <si>
    <r>
      <t>1. Estimate EPS ten years from now, EPS</t>
    </r>
    <r>
      <rPr>
        <vertAlign val="subscript"/>
        <sz val="9"/>
        <rFont val="Tahoma"/>
        <family val="2"/>
      </rPr>
      <t xml:space="preserve">10 </t>
    </r>
    <r>
      <rPr>
        <sz val="9"/>
        <rFont val="Tahoma"/>
        <family val="2"/>
      </rPr>
      <t xml:space="preserve"> = EPS</t>
    </r>
    <r>
      <rPr>
        <vertAlign val="subscript"/>
        <sz val="9"/>
        <rFont val="Tahoma"/>
        <family val="2"/>
      </rPr>
      <t xml:space="preserve">0 </t>
    </r>
    <r>
      <rPr>
        <sz val="9"/>
        <rFont val="Tahoma"/>
        <family val="2"/>
      </rPr>
      <t>(1+g)</t>
    </r>
    <r>
      <rPr>
        <vertAlign val="superscript"/>
        <sz val="9"/>
        <rFont val="Tahoma"/>
        <family val="2"/>
      </rPr>
      <t>10</t>
    </r>
    <r>
      <rPr>
        <sz val="9"/>
        <rFont val="Tahoma"/>
        <family val="2"/>
      </rPr>
      <t xml:space="preserve"> </t>
    </r>
  </si>
  <si>
    <r>
      <t xml:space="preserve">2. Multiply </t>
    </r>
    <r>
      <rPr>
        <b/>
        <sz val="9"/>
        <rFont val="Tahoma"/>
        <family val="2"/>
      </rPr>
      <t>EPS</t>
    </r>
    <r>
      <rPr>
        <b/>
        <vertAlign val="subscript"/>
        <sz val="9"/>
        <rFont val="Tahoma"/>
        <family val="2"/>
      </rPr>
      <t>10</t>
    </r>
    <r>
      <rPr>
        <sz val="9"/>
        <rFont val="Tahoma"/>
        <family val="2"/>
      </rPr>
      <t xml:space="preserve"> by </t>
    </r>
    <r>
      <rPr>
        <b/>
        <sz val="9"/>
        <rFont val="Tahoma"/>
        <family val="2"/>
      </rPr>
      <t>P/E</t>
    </r>
    <r>
      <rPr>
        <sz val="9"/>
        <rFont val="Tahoma"/>
        <family val="2"/>
      </rPr>
      <t xml:space="preserve"> and call that </t>
    </r>
    <r>
      <rPr>
        <b/>
        <sz val="9"/>
        <rFont val="Tahoma"/>
        <family val="2"/>
      </rPr>
      <t>V</t>
    </r>
    <r>
      <rPr>
        <b/>
        <vertAlign val="subscript"/>
        <sz val="9"/>
        <rFont val="Tahoma"/>
        <family val="2"/>
      </rPr>
      <t>10; that is</t>
    </r>
    <r>
      <rPr>
        <sz val="9"/>
        <rFont val="Tahoma"/>
        <family val="2"/>
      </rPr>
      <t xml:space="preserve"> V10 = (</t>
    </r>
    <r>
      <rPr>
        <b/>
        <sz val="9"/>
        <rFont val="Tahoma"/>
        <family val="2"/>
      </rPr>
      <t>EPS</t>
    </r>
    <r>
      <rPr>
        <b/>
        <vertAlign val="subscript"/>
        <sz val="9"/>
        <rFont val="Tahoma"/>
        <family val="2"/>
      </rPr>
      <t>10</t>
    </r>
    <r>
      <rPr>
        <sz val="9"/>
        <rFont val="Tahoma"/>
        <family val="2"/>
      </rPr>
      <t>.)x(</t>
    </r>
    <r>
      <rPr>
        <b/>
        <sz val="9"/>
        <rFont val="Tahoma"/>
        <family val="2"/>
      </rPr>
      <t xml:space="preserve">P/E). </t>
    </r>
    <r>
      <rPr>
        <sz val="9"/>
        <rFont val="Tahoma"/>
        <family val="2"/>
      </rPr>
      <t xml:space="preserve"> </t>
    </r>
  </si>
  <si>
    <t xml:space="preserve">This gives you the intrinsic value ("Sticker Price") ten years from now. </t>
  </si>
  <si>
    <r>
      <t xml:space="preserve">3. Calculate today’s supposed intrinsic value, </t>
    </r>
    <r>
      <rPr>
        <b/>
        <sz val="9"/>
        <rFont val="Tahoma"/>
        <family val="2"/>
      </rPr>
      <t>V</t>
    </r>
    <r>
      <rPr>
        <b/>
        <vertAlign val="subscript"/>
        <sz val="9"/>
        <rFont val="Tahoma"/>
        <family val="2"/>
      </rPr>
      <t>0</t>
    </r>
    <r>
      <rPr>
        <sz val="9"/>
        <rFont val="Tahoma"/>
        <family val="2"/>
      </rPr>
      <t xml:space="preserve"> = </t>
    </r>
    <r>
      <rPr>
        <b/>
        <sz val="9"/>
        <rFont val="Tahoma"/>
        <family val="2"/>
      </rPr>
      <t>V</t>
    </r>
    <r>
      <rPr>
        <b/>
        <vertAlign val="subscript"/>
        <sz val="9"/>
        <rFont val="Tahoma"/>
        <family val="2"/>
      </rPr>
      <t>10</t>
    </r>
    <r>
      <rPr>
        <sz val="9"/>
        <rFont val="Tahoma"/>
        <family val="2"/>
      </rPr>
      <t xml:space="preserve"> x [1/(1+k)</t>
    </r>
    <r>
      <rPr>
        <vertAlign val="superscript"/>
        <sz val="9"/>
        <rFont val="Tahoma"/>
        <family val="2"/>
      </rPr>
      <t>10</t>
    </r>
    <r>
      <rPr>
        <sz val="9"/>
        <rFont val="Tahoma"/>
        <family val="2"/>
      </rPr>
      <t>)]</t>
    </r>
  </si>
  <si>
    <t>Purchase Decision</t>
  </si>
  <si>
    <t>Step 10:</t>
  </si>
  <si>
    <t xml:space="preserve">Current Price = </t>
  </si>
  <si>
    <t xml:space="preserve">Current Price/Intrinsic Value = </t>
  </si>
  <si>
    <t>Margin of Safety</t>
  </si>
  <si>
    <t xml:space="preserve">Decision: </t>
  </si>
  <si>
    <t>Buy if margin of Safety is greater 50%.</t>
  </si>
  <si>
    <t>Consider buying or put on Watch List if Margin of Safety is between 20% and 50%.</t>
  </si>
  <si>
    <t>Put on Watch List if Margin of Safety is less than 20%.</t>
  </si>
  <si>
    <t>Estimating Intrinsic Value Using Free Cash Flow Approach</t>
  </si>
  <si>
    <t xml:space="preserve"> Data</t>
  </si>
  <si>
    <t>OCF =</t>
  </si>
  <si>
    <t>Capital Expenditure =</t>
  </si>
  <si>
    <t>a. Latest FCF</t>
  </si>
  <si>
    <t>b. Rate of Growth of FCF over the next 10 years (use lower of 10% or company's 5-year growth rate)</t>
  </si>
  <si>
    <t>c. Terminal Growth Rate (Rate of growth of FCF from year 11 in perpetuity - use average GDP growth rate)</t>
  </si>
  <si>
    <t>d. Discount rate</t>
  </si>
  <si>
    <t>e. Number of shares outstanding (undiluted)</t>
  </si>
  <si>
    <t>Number of shares outstanding from last year</t>
  </si>
  <si>
    <t>(for use in calculating F-Score)</t>
  </si>
  <si>
    <t>Number of shares outstanding two years ago</t>
  </si>
  <si>
    <t xml:space="preserve"> Estimates</t>
  </si>
  <si>
    <t>a. Estimates of FCF from year 1 to year 10</t>
  </si>
  <si>
    <t>b. Estimate of intrinsic value in year 10</t>
  </si>
  <si>
    <t>c. Estimate of intrinsic value today</t>
  </si>
  <si>
    <t>Year:</t>
  </si>
  <si>
    <t>FCF0</t>
  </si>
  <si>
    <t>FCF1</t>
  </si>
  <si>
    <t>FCF2</t>
  </si>
  <si>
    <t>FCF3</t>
  </si>
  <si>
    <t>FCF4</t>
  </si>
  <si>
    <t>FCF5</t>
  </si>
  <si>
    <t>FCF6</t>
  </si>
  <si>
    <t>FCF7</t>
  </si>
  <si>
    <t>FCF8</t>
  </si>
  <si>
    <t>FCF9</t>
  </si>
  <si>
    <t>FCF10</t>
  </si>
  <si>
    <t>FCF11</t>
  </si>
  <si>
    <t>PV of FCF</t>
  </si>
  <si>
    <t>Intrinsic Value in Year 10</t>
  </si>
  <si>
    <t>Intrinsic Value</t>
  </si>
  <si>
    <t>Intrinsic Value per share</t>
  </si>
  <si>
    <t>Current market price</t>
  </si>
  <si>
    <t>Ratio of current price to intrinsic value</t>
  </si>
  <si>
    <t xml:space="preserve">Margin of Safety = </t>
  </si>
  <si>
    <t>Purchase or sale decision</t>
  </si>
  <si>
    <t>Buy if Margin of Safety is 50% or more.</t>
  </si>
  <si>
    <t>Consider buying or putting on Watch List if Margin of Safety is between 20% and 50%.</t>
  </si>
  <si>
    <t>Piotroski Screening (F-Score) Criteria</t>
  </si>
  <si>
    <t>Criterion</t>
  </si>
  <si>
    <t>Score</t>
  </si>
  <si>
    <t>The return on assets for the last fiscal year (Y1) is positive</t>
  </si>
  <si>
    <t>Cash from operations for the last fiscal year (Y1) is positive</t>
  </si>
  <si>
    <t>The return on assets ratio for the last fiscal year (Y1) is greater than the return on assets ratio for the fiscal year two years ago (Y2)</t>
  </si>
  <si>
    <t>Cash from operations for the last fiscal year (Y1) is greater than income after taxes for the last fiscal year (Y1)</t>
  </si>
  <si>
    <t>The long-term debt to assets ratio for the last fiscal year (Y1) is less than the long-term debt to assets ratio for the fiscal year two years ago (Y2)</t>
  </si>
  <si>
    <t>The current ratio for the last fiscal year (Y1) is greater than the current ratio for the fiscal year two years ago (Y2)</t>
  </si>
  <si>
    <t>The average shares outstanding for the last fiscal year (Y1) is less than or equal to the average number of shares outstanding for the fiscal year two years ago (Y2)</t>
  </si>
  <si>
    <t>The gross margin for the last fiscal year (Y1) is greater than the gross margin for the fiscal year two years ago (Y2)</t>
  </si>
  <si>
    <t>The asset turnover for the last fiscal year (Y1) is greater than the asset turnover for the fiscal year two years ago (Y2)</t>
  </si>
  <si>
    <t>TOTAL</t>
  </si>
  <si>
    <t>F-Score of 8 or 9 =&gt; strong company; low probability of bankruptcy.</t>
  </si>
  <si>
    <t>F-Score between 0 and 2 =&gt; weak company; high probability of failing.</t>
  </si>
  <si>
    <t>Altman Z Score:</t>
  </si>
  <si>
    <t>Total Aseets</t>
  </si>
  <si>
    <t>Ratios</t>
  </si>
  <si>
    <t>X1 = Working Capital / Total Assets</t>
  </si>
  <si>
    <t>X2 =Retained Earnings/Total Asets</t>
  </si>
  <si>
    <t>X3 = Operating Income/Total Assets</t>
  </si>
  <si>
    <t>X4 = Market Capitalization / Liabilities</t>
  </si>
  <si>
    <t>X5 = Sales / Total Assets</t>
  </si>
  <si>
    <t>Total</t>
  </si>
  <si>
    <t>Z = 1.2X1 + 1.4X2 + 3.3X3 + 0.6X4 + 1.0X5</t>
  </si>
  <si>
    <t>Z &lt; 1.8 =&gt; High probability of bankruptcy</t>
  </si>
  <si>
    <t>1.8 &lt; Z &lt; 2.7 =&gt; caution; moderate probability of bankruptcy</t>
  </si>
  <si>
    <t>2.7 &lt; Z &lt; 2.99=&gt; proceed with caution</t>
  </si>
  <si>
    <t>Z &gt; 3  =&gt; safe; bankruptcy unlikely.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</si>
</sst>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8" formatCode="&quot;$&quot;#,##0.00;[Red]\-&quot;$&quot;#,##0.00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0.000"/>
    <numFmt numFmtId="168" formatCode="#,##0.0"/>
    <numFmt numFmtId="169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b/>
      <vertAlign val="subscript"/>
      <sz val="9"/>
      <name val="Tahoma"/>
      <family val="2"/>
    </font>
    <font>
      <vertAlign val="subscript"/>
      <sz val="9"/>
      <name val="Tahoma"/>
      <family val="2"/>
    </font>
    <font>
      <vertAlign val="superscript"/>
      <sz val="9"/>
      <name val="Tahoma"/>
      <family val="2"/>
    </font>
    <font>
      <sz val="9"/>
      <color indexed="63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Border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3" fillId="3" borderId="0" xfId="0" applyFont="1" applyFill="1"/>
    <xf numFmtId="1" fontId="3" fillId="0" borderId="2" xfId="0" applyNumberFormat="1" applyFont="1" applyBorder="1"/>
    <xf numFmtId="0" fontId="5" fillId="0" borderId="0" xfId="0" applyFont="1"/>
    <xf numFmtId="3" fontId="3" fillId="0" borderId="2" xfId="0" applyNumberFormat="1" applyFont="1" applyBorder="1"/>
    <xf numFmtId="10" fontId="3" fillId="0" borderId="2" xfId="0" applyNumberFormat="1" applyFont="1" applyBorder="1"/>
    <xf numFmtId="3" fontId="3" fillId="0" borderId="0" xfId="0" applyNumberFormat="1" applyFont="1" applyBorder="1"/>
    <xf numFmtId="3" fontId="3" fillId="0" borderId="3" xfId="0" applyNumberFormat="1" applyFont="1" applyBorder="1"/>
    <xf numFmtId="0" fontId="3" fillId="0" borderId="0" xfId="0" applyFont="1" applyBorder="1"/>
    <xf numFmtId="2" fontId="3" fillId="0" borderId="2" xfId="0" applyNumberFormat="1" applyFont="1" applyBorder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66" fontId="3" fillId="0" borderId="7" xfId="1" applyNumberFormat="1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165" fontId="3" fillId="0" borderId="2" xfId="1" applyNumberFormat="1" applyFont="1" applyBorder="1" applyAlignment="1">
      <alignment vertical="top" wrapText="1"/>
    </xf>
    <xf numFmtId="166" fontId="3" fillId="0" borderId="2" xfId="1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6" fontId="3" fillId="0" borderId="9" xfId="1" applyNumberFormat="1" applyFont="1" applyBorder="1"/>
    <xf numFmtId="0" fontId="4" fillId="0" borderId="10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0" fontId="4" fillId="0" borderId="2" xfId="0" applyFont="1" applyBorder="1"/>
    <xf numFmtId="2" fontId="4" fillId="0" borderId="2" xfId="0" applyNumberFormat="1" applyFont="1" applyBorder="1" applyAlignment="1">
      <alignment vertical="top" wrapText="1"/>
    </xf>
    <xf numFmtId="2" fontId="4" fillId="4" borderId="2" xfId="0" applyNumberFormat="1" applyFont="1" applyFill="1" applyBorder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left" indent="1"/>
    </xf>
    <xf numFmtId="2" fontId="3" fillId="0" borderId="11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167" fontId="4" fillId="0" borderId="2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4" fontId="3" fillId="0" borderId="2" xfId="1" applyNumberFormat="1" applyFont="1" applyBorder="1"/>
    <xf numFmtId="165" fontId="4" fillId="0" borderId="2" xfId="1" applyNumberFormat="1" applyFont="1" applyBorder="1"/>
    <xf numFmtId="0" fontId="3" fillId="0" borderId="0" xfId="0" applyFont="1" applyAlignment="1">
      <alignment horizontal="left" indent="4"/>
    </xf>
    <xf numFmtId="168" fontId="3" fillId="0" borderId="2" xfId="0" applyNumberFormat="1" applyFont="1" applyBorder="1" applyAlignment="1">
      <alignment vertical="top" wrapText="1"/>
    </xf>
    <xf numFmtId="168" fontId="3" fillId="0" borderId="2" xfId="0" applyNumberFormat="1" applyFont="1" applyBorder="1"/>
    <xf numFmtId="2" fontId="4" fillId="0" borderId="2" xfId="0" applyNumberFormat="1" applyFont="1" applyBorder="1"/>
    <xf numFmtId="4" fontId="3" fillId="0" borderId="2" xfId="0" applyNumberFormat="1" applyFont="1" applyBorder="1"/>
    <xf numFmtId="169" fontId="4" fillId="0" borderId="2" xfId="0" applyNumberFormat="1" applyFont="1" applyBorder="1"/>
    <xf numFmtId="0" fontId="4" fillId="0" borderId="0" xfId="0" applyFont="1" applyAlignment="1">
      <alignment horizontal="left"/>
    </xf>
    <xf numFmtId="0" fontId="3" fillId="0" borderId="2" xfId="0" quotePrefix="1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2" fontId="4" fillId="5" borderId="2" xfId="0" applyNumberFormat="1" applyFont="1" applyFill="1" applyBorder="1"/>
    <xf numFmtId="168" fontId="4" fillId="6" borderId="0" xfId="0" applyNumberFormat="1" applyFont="1" applyFill="1"/>
    <xf numFmtId="168" fontId="3" fillId="6" borderId="0" xfId="0" applyNumberFormat="1" applyFont="1" applyFill="1"/>
    <xf numFmtId="2" fontId="3" fillId="6" borderId="0" xfId="0" applyNumberFormat="1" applyFont="1" applyFill="1"/>
    <xf numFmtId="0" fontId="3" fillId="6" borderId="0" xfId="0" applyFont="1" applyFill="1"/>
    <xf numFmtId="2" fontId="3" fillId="6" borderId="0" xfId="1" applyNumberFormat="1" applyFont="1" applyFill="1"/>
    <xf numFmtId="169" fontId="3" fillId="0" borderId="2" xfId="0" applyNumberFormat="1" applyFont="1" applyBorder="1"/>
    <xf numFmtId="6" fontId="3" fillId="0" borderId="2" xfId="0" applyNumberFormat="1" applyFont="1" applyBorder="1"/>
    <xf numFmtId="0" fontId="3" fillId="0" borderId="0" xfId="0" applyFont="1" applyAlignment="1">
      <alignment wrapText="1"/>
    </xf>
    <xf numFmtId="8" fontId="3" fillId="0" borderId="0" xfId="0" applyNumberFormat="1" applyFont="1"/>
    <xf numFmtId="164" fontId="3" fillId="6" borderId="0" xfId="2" applyNumberFormat="1" applyFont="1" applyFill="1"/>
    <xf numFmtId="2" fontId="3" fillId="0" borderId="0" xfId="0" applyNumberFormat="1" applyFont="1"/>
    <xf numFmtId="2" fontId="3" fillId="2" borderId="0" xfId="0" applyNumberFormat="1" applyFont="1" applyFill="1"/>
    <xf numFmtId="2" fontId="3" fillId="0" borderId="0" xfId="0" applyNumberFormat="1" applyFont="1" applyFill="1"/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6" borderId="2" xfId="0" applyFont="1" applyFill="1" applyBorder="1"/>
    <xf numFmtId="3" fontId="3" fillId="0" borderId="0" xfId="0" applyNumberFormat="1" applyFont="1"/>
    <xf numFmtId="1" fontId="3" fillId="0" borderId="0" xfId="0" applyNumberFormat="1" applyFont="1"/>
    <xf numFmtId="0" fontId="4" fillId="6" borderId="0" xfId="0" applyFont="1" applyFill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4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3" fillId="0" borderId="13" xfId="0" applyFont="1" applyBorder="1" applyAlignment="1">
      <alignment horizontal="left" wrapText="1"/>
    </xf>
    <xf numFmtId="0" fontId="3" fillId="0" borderId="0" xfId="0" applyFont="1" applyAlignment="1"/>
    <xf numFmtId="0" fontId="3" fillId="0" borderId="13" xfId="0" applyFont="1" applyFill="1" applyBorder="1" applyAlignment="1">
      <alignment wrapText="1"/>
    </xf>
    <xf numFmtId="0" fontId="3" fillId="0" borderId="0" xfId="0" applyFont="1" applyBorder="1" applyAlignment="1"/>
    <xf numFmtId="0" fontId="4" fillId="7" borderId="0" xfId="0" applyFont="1" applyFill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haredStrings" Target="sharedStrings.xml"/>
  <Relationship Id="rId11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theme" Target="theme/theme1.xml"/>
  <Relationship Id="rId9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>
      <selection activeCell="E30" sqref="E30"/>
    </sheetView>
  </sheetViews>
  <sheetFormatPr baseColWidth="10" defaultRowHeight="15" x14ac:dyDescent="0"/>
  <cols>
    <col min="1" max="1" width="21.6640625" customWidth="1"/>
  </cols>
  <sheetData>
    <row r="2" spans="1:1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3" t="s">
        <v>1</v>
      </c>
      <c r="B3" s="83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3"/>
      <c r="B4" s="3"/>
      <c r="C4" s="84" t="s">
        <v>2</v>
      </c>
      <c r="D4" s="84"/>
      <c r="E4" s="84"/>
      <c r="F4" s="3" t="s">
        <v>3</v>
      </c>
      <c r="G4" s="3" t="s">
        <v>4</v>
      </c>
      <c r="H4" s="3" t="s">
        <v>5</v>
      </c>
      <c r="I4" s="3" t="s">
        <v>6</v>
      </c>
      <c r="J4" s="4" t="s">
        <v>7</v>
      </c>
      <c r="K4" s="3" t="s">
        <v>8</v>
      </c>
      <c r="L4" s="3" t="s">
        <v>9</v>
      </c>
      <c r="M4" s="2"/>
    </row>
    <row r="5" spans="1:13" ht="73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6" t="s">
        <v>19</v>
      </c>
      <c r="K5" s="5" t="s">
        <v>20</v>
      </c>
      <c r="L5" s="5" t="s">
        <v>21</v>
      </c>
      <c r="M5" s="2"/>
    </row>
    <row r="6" spans="1:13">
      <c r="A6" s="7" t="s">
        <v>22</v>
      </c>
      <c r="B6" s="7" t="s">
        <v>23</v>
      </c>
      <c r="C6" s="7" t="s">
        <v>24</v>
      </c>
      <c r="D6" s="7" t="s">
        <v>25</v>
      </c>
      <c r="E6" s="7" t="s">
        <v>24</v>
      </c>
      <c r="F6" s="7" t="s">
        <v>26</v>
      </c>
      <c r="G6" s="7" t="s">
        <v>26</v>
      </c>
      <c r="H6" s="7" t="s">
        <v>26</v>
      </c>
      <c r="I6" s="7" t="s">
        <v>26</v>
      </c>
      <c r="J6" s="7" t="s">
        <v>26</v>
      </c>
      <c r="K6" s="7" t="s">
        <v>26</v>
      </c>
      <c r="L6" s="7" t="s">
        <v>26</v>
      </c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</sheetData>
  <mergeCells count="2">
    <mergeCell ref="A3:B3"/>
    <mergeCell ref="C4:E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44" workbookViewId="0">
      <selection activeCell="H7" sqref="H7"/>
    </sheetView>
  </sheetViews>
  <sheetFormatPr baseColWidth="10" defaultRowHeight="15" x14ac:dyDescent="0"/>
  <sheetData>
    <row r="1" spans="1:8">
      <c r="A1" s="8" t="s">
        <v>27</v>
      </c>
      <c r="B1" s="2" t="s">
        <v>23</v>
      </c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9" t="s">
        <v>28</v>
      </c>
      <c r="B3" s="9">
        <v>2014</v>
      </c>
      <c r="C3" s="9">
        <v>2013</v>
      </c>
      <c r="D3" s="9">
        <v>2012</v>
      </c>
      <c r="E3" s="9">
        <v>2011</v>
      </c>
      <c r="F3" s="9">
        <v>2010</v>
      </c>
      <c r="G3" s="2"/>
      <c r="H3" s="2"/>
    </row>
    <row r="4" spans="1:8">
      <c r="A4" s="8"/>
      <c r="B4" s="2"/>
      <c r="C4" s="2"/>
      <c r="D4" s="2"/>
      <c r="E4" s="2"/>
      <c r="F4" s="2"/>
      <c r="G4" s="2"/>
      <c r="H4" s="2"/>
    </row>
    <row r="5" spans="1:8">
      <c r="A5" s="10" t="s">
        <v>29</v>
      </c>
      <c r="B5" s="11"/>
      <c r="C5" s="11"/>
      <c r="D5" s="11"/>
      <c r="E5" s="11"/>
      <c r="F5" s="11"/>
      <c r="G5" s="2"/>
      <c r="H5" s="2"/>
    </row>
    <row r="6" spans="1:8">
      <c r="A6" s="2" t="s">
        <v>30</v>
      </c>
      <c r="B6" s="7">
        <v>77.069999999999993</v>
      </c>
      <c r="C6" s="2"/>
      <c r="D6" s="2"/>
      <c r="E6" s="2"/>
      <c r="F6" s="2"/>
      <c r="G6" s="2"/>
      <c r="H6" s="2"/>
    </row>
    <row r="7" spans="1:8">
      <c r="A7" s="2" t="s">
        <v>31</v>
      </c>
      <c r="B7" s="7">
        <f>B48</f>
        <v>31.17</v>
      </c>
      <c r="C7" s="2"/>
      <c r="D7" s="2"/>
      <c r="E7" s="2"/>
      <c r="F7" s="2"/>
      <c r="G7" s="2"/>
      <c r="H7" s="2"/>
    </row>
    <row r="8" spans="1:8">
      <c r="A8" s="2" t="s">
        <v>32</v>
      </c>
      <c r="B8" s="12">
        <v>250478</v>
      </c>
      <c r="C8" s="13" t="s">
        <v>33</v>
      </c>
      <c r="D8" s="2"/>
      <c r="E8" s="2"/>
      <c r="F8" s="2"/>
      <c r="G8" s="2"/>
      <c r="H8" s="2"/>
    </row>
    <row r="9" spans="1:8">
      <c r="A9" s="2" t="s">
        <v>34</v>
      </c>
      <c r="B9" s="14">
        <f>B8/B6</f>
        <v>3250.0064876086676</v>
      </c>
      <c r="C9" s="13" t="s">
        <v>35</v>
      </c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10" t="s">
        <v>36</v>
      </c>
      <c r="B11" s="11"/>
      <c r="C11" s="11"/>
      <c r="D11" s="11"/>
      <c r="E11" s="11"/>
      <c r="F11" s="11"/>
      <c r="G11" s="2"/>
      <c r="H11" s="2"/>
    </row>
    <row r="12" spans="1:8">
      <c r="A12" s="2" t="s">
        <v>37</v>
      </c>
      <c r="B12" s="2"/>
      <c r="C12" s="2"/>
      <c r="D12" s="2"/>
      <c r="E12" s="2"/>
      <c r="F12" s="2"/>
      <c r="G12" s="2"/>
      <c r="H12" s="2"/>
    </row>
    <row r="13" spans="1:8">
      <c r="A13" s="2" t="s">
        <v>38</v>
      </c>
      <c r="B13" s="15">
        <v>9.5299999999999996E-2</v>
      </c>
      <c r="C13" s="13" t="s">
        <v>39</v>
      </c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10" t="s">
        <v>40</v>
      </c>
      <c r="B16" s="11"/>
      <c r="C16" s="11"/>
      <c r="D16" s="11"/>
      <c r="E16" s="11"/>
      <c r="F16" s="11"/>
      <c r="G16" s="2"/>
      <c r="H16" s="2"/>
    </row>
    <row r="17" spans="1:8">
      <c r="A17" s="8" t="s">
        <v>41</v>
      </c>
      <c r="B17" s="2"/>
      <c r="C17" s="2"/>
      <c r="D17" s="2"/>
      <c r="E17" s="2"/>
      <c r="F17" s="2"/>
      <c r="G17" s="2"/>
      <c r="H17" s="2"/>
    </row>
    <row r="18" spans="1:8">
      <c r="A18" s="2"/>
      <c r="B18" s="8">
        <f>B3</f>
        <v>2014</v>
      </c>
      <c r="C18" s="8">
        <f>C3</f>
        <v>2013</v>
      </c>
      <c r="D18" s="8">
        <f>D3</f>
        <v>2012</v>
      </c>
      <c r="E18" s="8">
        <f>E3</f>
        <v>2011</v>
      </c>
      <c r="F18" s="8">
        <f>F3</f>
        <v>2010</v>
      </c>
      <c r="G18" s="2"/>
      <c r="H18" s="2"/>
    </row>
    <row r="19" spans="1:8">
      <c r="A19" s="2" t="s">
        <v>42</v>
      </c>
      <c r="B19" s="14">
        <v>156508</v>
      </c>
      <c r="C19" s="14">
        <v>108249</v>
      </c>
      <c r="D19" s="14">
        <v>65225</v>
      </c>
      <c r="E19" s="14">
        <v>182795</v>
      </c>
      <c r="F19" s="14">
        <v>170910</v>
      </c>
      <c r="G19" s="2"/>
      <c r="H19" s="2"/>
    </row>
    <row r="20" spans="1:8">
      <c r="A20" s="2" t="s">
        <v>43</v>
      </c>
      <c r="B20" s="14">
        <v>68662</v>
      </c>
      <c r="C20" s="14">
        <v>43818</v>
      </c>
      <c r="D20" s="14">
        <v>25684</v>
      </c>
      <c r="E20" s="14">
        <v>70537</v>
      </c>
      <c r="F20" s="14">
        <v>64304</v>
      </c>
      <c r="G20" s="2"/>
      <c r="H20" s="2"/>
    </row>
    <row r="21" spans="1:8">
      <c r="A21" s="2" t="s">
        <v>44</v>
      </c>
      <c r="B21" s="14">
        <v>55241</v>
      </c>
      <c r="C21" s="14">
        <v>33790</v>
      </c>
      <c r="D21" s="14">
        <v>18385</v>
      </c>
      <c r="E21" s="14">
        <v>52503</v>
      </c>
      <c r="F21" s="14">
        <v>48999</v>
      </c>
      <c r="G21" s="2"/>
      <c r="H21" s="2"/>
    </row>
    <row r="22" spans="1:8">
      <c r="A22" s="2" t="s">
        <v>45</v>
      </c>
      <c r="B22" s="14">
        <v>41733</v>
      </c>
      <c r="C22" s="14">
        <v>25922</v>
      </c>
      <c r="D22" s="14">
        <v>14013</v>
      </c>
      <c r="E22" s="14">
        <v>39510</v>
      </c>
      <c r="F22" s="14">
        <v>37037</v>
      </c>
      <c r="G22" s="2"/>
      <c r="H22" s="2"/>
    </row>
    <row r="23" spans="1:8">
      <c r="A23" s="2" t="s">
        <v>46</v>
      </c>
      <c r="B23" s="7">
        <v>247</v>
      </c>
      <c r="C23" s="7">
        <v>225</v>
      </c>
      <c r="D23" s="7">
        <v>120</v>
      </c>
      <c r="E23" s="7">
        <v>384</v>
      </c>
      <c r="F23" s="7">
        <v>136</v>
      </c>
      <c r="G23" s="2"/>
      <c r="H23" s="2"/>
    </row>
    <row r="24" spans="1:8">
      <c r="A24" s="2" t="s">
        <v>47</v>
      </c>
      <c r="B24" s="7">
        <v>12.12</v>
      </c>
      <c r="C24" s="7">
        <v>14.12</v>
      </c>
      <c r="D24" s="7">
        <v>14.21</v>
      </c>
      <c r="E24" s="7">
        <v>12.56</v>
      </c>
      <c r="F24" s="7">
        <v>13.11</v>
      </c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8" t="s">
        <v>48</v>
      </c>
      <c r="B26" s="2"/>
      <c r="C26" s="2"/>
      <c r="D26" s="2"/>
      <c r="E26" s="2"/>
      <c r="F26" s="2"/>
      <c r="G26" s="2"/>
      <c r="H26" s="2"/>
    </row>
    <row r="27" spans="1:8">
      <c r="A27" s="2"/>
      <c r="B27" s="8">
        <f>B3</f>
        <v>2014</v>
      </c>
      <c r="C27" s="8">
        <f>C3</f>
        <v>2013</v>
      </c>
      <c r="D27" s="8">
        <f>D3</f>
        <v>2012</v>
      </c>
      <c r="E27" s="8">
        <f>E3</f>
        <v>2011</v>
      </c>
      <c r="F27" s="8">
        <f>F3</f>
        <v>2010</v>
      </c>
      <c r="G27" s="2"/>
      <c r="H27" s="2"/>
    </row>
    <row r="28" spans="1:8">
      <c r="A28" s="2" t="s">
        <v>49</v>
      </c>
      <c r="B28" s="7">
        <v>791</v>
      </c>
      <c r="C28" s="7">
        <v>776</v>
      </c>
      <c r="D28" s="14">
        <v>1051</v>
      </c>
      <c r="E28" s="14">
        <v>2111</v>
      </c>
      <c r="F28" s="14">
        <v>1764</v>
      </c>
      <c r="G28" s="2"/>
      <c r="H28" s="2"/>
    </row>
    <row r="29" spans="1:8">
      <c r="A29" s="2" t="s">
        <v>50</v>
      </c>
      <c r="B29" s="14">
        <v>57653</v>
      </c>
      <c r="C29" s="14">
        <v>44988</v>
      </c>
      <c r="D29" s="14">
        <v>41678</v>
      </c>
      <c r="E29" s="14">
        <v>68531</v>
      </c>
      <c r="F29" s="14">
        <v>73286</v>
      </c>
      <c r="G29" s="2"/>
      <c r="H29" s="2"/>
    </row>
    <row r="30" spans="1:8">
      <c r="A30" s="2" t="s">
        <v>51</v>
      </c>
      <c r="B30" s="14">
        <v>176064</v>
      </c>
      <c r="C30" s="14">
        <v>116371</v>
      </c>
      <c r="D30" s="14">
        <v>75183</v>
      </c>
      <c r="E30" s="14">
        <v>231839</v>
      </c>
      <c r="F30" s="14">
        <v>207000</v>
      </c>
      <c r="G30" s="2"/>
      <c r="H30" s="2"/>
    </row>
    <row r="31" spans="1:8">
      <c r="A31" s="2" t="s">
        <v>52</v>
      </c>
      <c r="B31" s="14">
        <v>38542</v>
      </c>
      <c r="C31" s="14">
        <v>27970</v>
      </c>
      <c r="D31" s="14">
        <v>20722</v>
      </c>
      <c r="E31" s="14">
        <v>63448</v>
      </c>
      <c r="F31" s="14">
        <v>43658</v>
      </c>
      <c r="G31" s="2"/>
      <c r="H31" s="2"/>
    </row>
    <row r="32" spans="1:8">
      <c r="A32" s="2" t="s">
        <v>53</v>
      </c>
      <c r="B32" s="14">
        <v>16664</v>
      </c>
      <c r="C32" s="14">
        <v>10100</v>
      </c>
      <c r="D32" s="14">
        <v>5531</v>
      </c>
      <c r="E32" s="14">
        <v>24826</v>
      </c>
      <c r="F32" s="14">
        <v>20208</v>
      </c>
      <c r="G32" s="2"/>
      <c r="H32" s="2"/>
    </row>
    <row r="33" spans="1:8">
      <c r="A33" s="2" t="s">
        <v>54</v>
      </c>
      <c r="B33" s="16">
        <v>57854</v>
      </c>
      <c r="C33" s="16">
        <v>39756</v>
      </c>
      <c r="D33" s="16">
        <v>27392</v>
      </c>
      <c r="E33" s="17">
        <v>120292</v>
      </c>
      <c r="F33" s="16">
        <v>83451</v>
      </c>
      <c r="G33" s="2"/>
      <c r="H33" s="2"/>
    </row>
    <row r="34" spans="1:8">
      <c r="A34" s="2" t="s">
        <v>55</v>
      </c>
      <c r="B34" s="14">
        <v>101289</v>
      </c>
      <c r="C34" s="14">
        <v>62841</v>
      </c>
      <c r="D34" s="14">
        <v>37169</v>
      </c>
      <c r="E34" s="14">
        <v>87152</v>
      </c>
      <c r="F34" s="14">
        <v>104256</v>
      </c>
      <c r="G34" s="2"/>
      <c r="H34" s="2"/>
    </row>
    <row r="35" spans="1:8">
      <c r="A35" s="2" t="s">
        <v>56</v>
      </c>
      <c r="B35" s="14">
        <v>118210</v>
      </c>
      <c r="C35" s="14">
        <v>76615</v>
      </c>
      <c r="D35" s="14">
        <v>47791</v>
      </c>
      <c r="E35" s="14">
        <v>111547</v>
      </c>
      <c r="F35" s="14">
        <v>123549</v>
      </c>
      <c r="G35" s="2"/>
      <c r="H35" s="2"/>
    </row>
    <row r="36" spans="1:8">
      <c r="A36" s="2"/>
      <c r="B36" s="18"/>
      <c r="C36" s="18"/>
      <c r="D36" s="18"/>
      <c r="E36" s="18"/>
      <c r="F36" s="18"/>
      <c r="G36" s="2"/>
      <c r="H36" s="2"/>
    </row>
    <row r="37" spans="1:8">
      <c r="A37" s="2"/>
      <c r="B37" s="8">
        <f>B3</f>
        <v>2014</v>
      </c>
      <c r="C37" s="8">
        <f>C3</f>
        <v>2013</v>
      </c>
      <c r="D37" s="8">
        <f>D3</f>
        <v>2012</v>
      </c>
      <c r="E37" s="8">
        <f>E3</f>
        <v>2011</v>
      </c>
      <c r="F37" s="8">
        <f>F3</f>
        <v>2010</v>
      </c>
      <c r="G37" s="2"/>
      <c r="H37" s="2"/>
    </row>
    <row r="38" spans="1:8">
      <c r="A38" s="2" t="s">
        <v>57</v>
      </c>
      <c r="B38" s="7">
        <v>16422</v>
      </c>
      <c r="C38" s="7">
        <v>13331</v>
      </c>
      <c r="D38" s="7">
        <v>10668</v>
      </c>
      <c r="E38" s="7">
        <v>23313</v>
      </c>
      <c r="F38" s="7">
        <v>19764</v>
      </c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8" t="s">
        <v>58</v>
      </c>
      <c r="B40" s="2"/>
      <c r="C40" s="2"/>
      <c r="D40" s="2"/>
      <c r="E40" s="2"/>
      <c r="F40" s="2"/>
      <c r="G40" s="2"/>
      <c r="H40" s="2"/>
    </row>
    <row r="41" spans="1:8">
      <c r="A41" s="2"/>
      <c r="B41" s="8">
        <f>B3</f>
        <v>2014</v>
      </c>
      <c r="C41" s="8">
        <f>C3</f>
        <v>2013</v>
      </c>
      <c r="D41" s="8">
        <f>D3</f>
        <v>2012</v>
      </c>
      <c r="E41" s="8">
        <f>E3</f>
        <v>2011</v>
      </c>
      <c r="F41" s="8">
        <f>F3</f>
        <v>2010</v>
      </c>
      <c r="G41" s="2"/>
      <c r="H41" s="2"/>
    </row>
    <row r="42" spans="1:8">
      <c r="A42" s="2" t="s">
        <v>59</v>
      </c>
      <c r="B42" s="7">
        <v>-299</v>
      </c>
      <c r="C42" s="14">
        <v>5757</v>
      </c>
      <c r="D42" s="14">
        <v>1212</v>
      </c>
      <c r="E42" s="14">
        <v>7047</v>
      </c>
      <c r="F42" s="14">
        <v>6478</v>
      </c>
      <c r="G42" s="2"/>
      <c r="H42" s="2"/>
    </row>
    <row r="43" spans="1:8">
      <c r="A43" s="2" t="s">
        <v>60</v>
      </c>
      <c r="B43" s="14">
        <v>8295</v>
      </c>
      <c r="C43" s="14">
        <v>4260</v>
      </c>
      <c r="D43" s="14">
        <v>2005</v>
      </c>
      <c r="E43" s="14">
        <v>9571</v>
      </c>
      <c r="F43" s="14">
        <v>8165</v>
      </c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10" t="s">
        <v>61</v>
      </c>
      <c r="B45" s="11"/>
      <c r="C45" s="11"/>
      <c r="D45" s="11"/>
      <c r="E45" s="11"/>
      <c r="F45" s="11"/>
      <c r="G45" s="2"/>
      <c r="H45" s="2"/>
    </row>
    <row r="46" spans="1:8">
      <c r="A46" s="2" t="s">
        <v>62</v>
      </c>
      <c r="B46" s="2"/>
      <c r="C46" s="2"/>
      <c r="D46" s="2"/>
      <c r="E46" s="2"/>
      <c r="F46" s="2"/>
      <c r="G46" s="2"/>
      <c r="H46" s="2"/>
    </row>
    <row r="47" spans="1:8">
      <c r="A47" s="2"/>
      <c r="B47" s="8" t="s">
        <v>63</v>
      </c>
      <c r="C47" s="8" t="s">
        <v>64</v>
      </c>
      <c r="D47" s="8"/>
      <c r="E47" s="2"/>
      <c r="F47" s="2"/>
      <c r="G47" s="2"/>
      <c r="H47" s="2"/>
    </row>
    <row r="48" spans="1:8">
      <c r="A48" s="2">
        <f>B3</f>
        <v>2014</v>
      </c>
      <c r="B48" s="7">
        <v>31.17</v>
      </c>
      <c r="C48" s="7">
        <v>19.760000000000002</v>
      </c>
      <c r="D48" s="2"/>
      <c r="E48" s="2"/>
      <c r="F48" s="2"/>
      <c r="G48" s="2"/>
      <c r="H48" s="2"/>
    </row>
    <row r="49" spans="1:8">
      <c r="A49" s="2">
        <f>C3</f>
        <v>2013</v>
      </c>
      <c r="B49" s="19">
        <v>28.007333333333918</v>
      </c>
      <c r="C49" s="7">
        <v>21.86</v>
      </c>
      <c r="D49" s="2"/>
      <c r="E49" s="2"/>
      <c r="F49" s="2"/>
      <c r="G49" s="2"/>
      <c r="H49" s="2"/>
    </row>
    <row r="50" spans="1:8">
      <c r="A50" s="2">
        <f>D3</f>
        <v>2012</v>
      </c>
      <c r="B50" s="19">
        <v>33.508888888889487</v>
      </c>
      <c r="C50" s="7">
        <v>18.059999999999999</v>
      </c>
      <c r="D50" s="18"/>
      <c r="E50" s="2"/>
      <c r="F50" s="2"/>
      <c r="G50" s="2"/>
      <c r="H50" s="2"/>
    </row>
    <row r="51" spans="1:8">
      <c r="A51" s="2">
        <f>E3</f>
        <v>2011</v>
      </c>
      <c r="B51" s="19">
        <v>38.676681481481864</v>
      </c>
      <c r="C51" s="7">
        <v>15.55</v>
      </c>
      <c r="D51" s="18"/>
      <c r="E51" s="2"/>
      <c r="F51" s="2"/>
      <c r="G51" s="2"/>
      <c r="H51" s="2"/>
    </row>
    <row r="52" spans="1:8">
      <c r="A52" s="2">
        <f>F3</f>
        <v>2010</v>
      </c>
      <c r="B52" s="19">
        <v>43.495224691358089</v>
      </c>
      <c r="C52" s="7">
        <v>17.09</v>
      </c>
      <c r="D52" s="18"/>
      <c r="E52" s="2"/>
      <c r="F52" s="2"/>
      <c r="G52" s="2"/>
      <c r="H52" s="2"/>
    </row>
    <row r="53" spans="1:8">
      <c r="A53" s="2">
        <f>F3-1</f>
        <v>2009</v>
      </c>
      <c r="B53" s="7">
        <v>15.6</v>
      </c>
      <c r="C53" s="2"/>
      <c r="D53" s="18"/>
      <c r="E53" s="2"/>
      <c r="F53" s="2"/>
      <c r="G53" s="2"/>
      <c r="H53" s="2"/>
    </row>
    <row r="54" spans="1:8">
      <c r="A54" s="2">
        <f>F3-2</f>
        <v>2008</v>
      </c>
      <c r="B54" s="7">
        <v>12.75</v>
      </c>
      <c r="C54" s="2"/>
      <c r="D54" s="18"/>
      <c r="E54" s="2"/>
      <c r="F54" s="2"/>
      <c r="G54" s="2"/>
      <c r="H54" s="2"/>
    </row>
    <row r="55" spans="1:8">
      <c r="A55" s="2">
        <f>F3-3</f>
        <v>2007</v>
      </c>
      <c r="B55" s="7">
        <v>13.42</v>
      </c>
      <c r="C55" s="2"/>
      <c r="D55" s="18"/>
      <c r="E55" s="2"/>
      <c r="F55" s="2"/>
      <c r="G55" s="2"/>
      <c r="H55" s="2"/>
    </row>
    <row r="56" spans="1:8">
      <c r="A56" s="2">
        <f>F3-4</f>
        <v>2006</v>
      </c>
      <c r="B56" s="7">
        <v>14.36</v>
      </c>
      <c r="C56" s="2"/>
      <c r="D56" s="18"/>
      <c r="E56" s="2"/>
      <c r="F56" s="2"/>
      <c r="G56" s="2"/>
      <c r="H56" s="2"/>
    </row>
    <row r="57" spans="1:8">
      <c r="A57" s="2">
        <f>F3-5</f>
        <v>2005</v>
      </c>
      <c r="B57" s="7">
        <v>20.149999999999999</v>
      </c>
      <c r="C57" s="2"/>
      <c r="D57" s="18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29" workbookViewId="0">
      <selection activeCell="K29" sqref="K29"/>
    </sheetView>
  </sheetViews>
  <sheetFormatPr baseColWidth="10" defaultRowHeight="15" x14ac:dyDescent="0"/>
  <sheetData>
    <row r="1" spans="1:9">
      <c r="A1" s="8" t="s">
        <v>65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 ht="16" thickBot="1">
      <c r="A3" s="8">
        <v>1</v>
      </c>
      <c r="B3" s="8" t="s">
        <v>66</v>
      </c>
      <c r="C3" s="2"/>
      <c r="D3" s="2"/>
      <c r="E3" s="2"/>
      <c r="F3" s="2"/>
      <c r="G3" s="2"/>
      <c r="H3" s="2"/>
      <c r="I3" s="2"/>
    </row>
    <row r="4" spans="1:9" ht="16" thickBot="1">
      <c r="A4" s="2"/>
      <c r="B4" s="20" t="s">
        <v>28</v>
      </c>
      <c r="C4" s="21">
        <v>2014</v>
      </c>
      <c r="D4" s="21">
        <v>2013</v>
      </c>
      <c r="E4" s="21">
        <v>2012</v>
      </c>
      <c r="F4" s="21">
        <v>2011</v>
      </c>
      <c r="G4" s="21">
        <v>2010</v>
      </c>
      <c r="H4" s="2"/>
      <c r="I4" s="2"/>
    </row>
    <row r="5" spans="1:9">
      <c r="A5" s="2"/>
      <c r="B5" s="22" t="s">
        <v>45</v>
      </c>
      <c r="C5" s="23">
        <v>39510</v>
      </c>
      <c r="D5" s="23">
        <v>37037</v>
      </c>
      <c r="E5" s="23">
        <v>41733</v>
      </c>
      <c r="F5" s="23">
        <v>25922</v>
      </c>
      <c r="G5" s="23">
        <v>14013</v>
      </c>
      <c r="H5" s="2"/>
      <c r="I5" s="2"/>
    </row>
    <row r="6" spans="1:9">
      <c r="A6" s="2"/>
      <c r="B6" s="24" t="s">
        <v>67</v>
      </c>
      <c r="C6" s="25">
        <v>384</v>
      </c>
      <c r="D6" s="25">
        <v>136</v>
      </c>
      <c r="E6" s="25">
        <v>247</v>
      </c>
      <c r="F6" s="25">
        <v>225</v>
      </c>
      <c r="G6" s="25">
        <v>120</v>
      </c>
      <c r="H6" s="2"/>
      <c r="I6" s="2"/>
    </row>
    <row r="7" spans="1:9" ht="24">
      <c r="A7" s="2"/>
      <c r="B7" s="24" t="s">
        <v>68</v>
      </c>
      <c r="C7" s="26">
        <v>24826</v>
      </c>
      <c r="D7" s="26">
        <v>20208</v>
      </c>
      <c r="E7" s="26">
        <v>16664</v>
      </c>
      <c r="F7" s="26">
        <v>10100</v>
      </c>
      <c r="G7" s="26">
        <v>5531</v>
      </c>
      <c r="H7" s="2"/>
      <c r="I7" s="2"/>
    </row>
    <row r="8" spans="1:9">
      <c r="A8" s="2"/>
      <c r="B8" s="24" t="s">
        <v>56</v>
      </c>
      <c r="C8" s="27">
        <v>111547</v>
      </c>
      <c r="D8" s="27">
        <v>123549</v>
      </c>
      <c r="E8" s="27">
        <v>118210</v>
      </c>
      <c r="F8" s="27">
        <v>76615</v>
      </c>
      <c r="G8" s="27">
        <v>47791</v>
      </c>
      <c r="H8" s="2"/>
      <c r="I8" s="2"/>
    </row>
    <row r="9" spans="1:9" ht="25" thickBot="1">
      <c r="A9" s="2"/>
      <c r="B9" s="28" t="s">
        <v>69</v>
      </c>
      <c r="C9" s="29">
        <f>SUM(C7:C8)</f>
        <v>136373</v>
      </c>
      <c r="D9" s="29">
        <f>SUM(D7:D8)</f>
        <v>143757</v>
      </c>
      <c r="E9" s="29">
        <f>SUM(E7:E8)</f>
        <v>134874</v>
      </c>
      <c r="F9" s="29">
        <f>SUM(F7:F8)</f>
        <v>86715</v>
      </c>
      <c r="G9" s="29">
        <f>SUM(G7:G8)</f>
        <v>53322</v>
      </c>
      <c r="H9" s="2"/>
      <c r="I9" s="2"/>
    </row>
    <row r="10" spans="1:9" ht="16" thickBot="1">
      <c r="A10" s="2"/>
      <c r="B10" s="30" t="s">
        <v>70</v>
      </c>
      <c r="C10" s="31">
        <f>(C5+C6)/C9</f>
        <v>0.29253591253400602</v>
      </c>
      <c r="D10" s="31">
        <f>(D5+D6)/D9</f>
        <v>0.25858219078027506</v>
      </c>
      <c r="E10" s="31">
        <f>(E5+E6)/E9</f>
        <v>0.3112534661980812</v>
      </c>
      <c r="F10" s="31">
        <f>(F5+F6)/F9</f>
        <v>0.30152799400334429</v>
      </c>
      <c r="G10" s="31">
        <f>(G5+G6)/G9</f>
        <v>0.26505007314054235</v>
      </c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8">
        <v>2</v>
      </c>
      <c r="B12" s="8" t="s">
        <v>71</v>
      </c>
      <c r="C12" s="2"/>
      <c r="D12" s="2"/>
      <c r="E12" s="2"/>
      <c r="F12" s="2"/>
      <c r="G12" s="2"/>
      <c r="H12" s="2"/>
      <c r="I12" s="2"/>
    </row>
    <row r="13" spans="1:9">
      <c r="A13" s="2"/>
      <c r="B13" s="2"/>
      <c r="C13" s="2"/>
      <c r="D13" s="2"/>
      <c r="E13" s="2"/>
      <c r="F13" s="2"/>
      <c r="G13" s="2"/>
      <c r="H13" s="2"/>
      <c r="I13" s="2"/>
    </row>
    <row r="14" spans="1:9">
      <c r="A14" s="2"/>
      <c r="B14" s="24" t="s">
        <v>28</v>
      </c>
      <c r="C14" s="24">
        <v>2014</v>
      </c>
      <c r="D14" s="24">
        <f>D4</f>
        <v>2013</v>
      </c>
      <c r="E14" s="24">
        <f>E4</f>
        <v>2012</v>
      </c>
      <c r="F14" s="24">
        <f>F4</f>
        <v>2011</v>
      </c>
      <c r="G14" s="24">
        <f>G4</f>
        <v>2010</v>
      </c>
      <c r="H14" s="2"/>
      <c r="I14" s="2"/>
    </row>
    <row r="15" spans="1:9">
      <c r="A15" s="2"/>
      <c r="B15" s="32" t="s">
        <v>72</v>
      </c>
      <c r="C15" s="7">
        <v>15.55</v>
      </c>
      <c r="D15" s="7">
        <v>17.09</v>
      </c>
      <c r="E15" s="7">
        <v>18.059999999999999</v>
      </c>
      <c r="F15" s="7">
        <v>19.760000000000002</v>
      </c>
      <c r="G15" s="7">
        <v>21.86</v>
      </c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 ht="24">
      <c r="A17" s="2"/>
      <c r="B17" s="24" t="s">
        <v>73</v>
      </c>
      <c r="C17" s="24" t="s">
        <v>74</v>
      </c>
      <c r="D17" s="24" t="s">
        <v>75</v>
      </c>
      <c r="E17" s="24" t="s">
        <v>76</v>
      </c>
      <c r="F17" s="2"/>
      <c r="G17" s="2"/>
      <c r="H17" s="2"/>
      <c r="I17" s="2"/>
    </row>
    <row r="18" spans="1:9">
      <c r="A18" s="2"/>
      <c r="B18" s="33">
        <f>IF(AND(C15&gt;=0,$G$15&gt;0),((C15/$G$15)^(0.25)-1),IF(AND(C15&lt;=0,$G$15&lt;0,C15&lt;$G$15),-((C15/$G$15)^(0.25)-1),IF(AND(C15&lt;=0,$G$15&lt;0,C15&gt;=$G$15),(($G$15/C15)^(0.25)-1),IF(AND(C15&gt;=0,$G$15&lt;0),(((C15+ABS($G$15))/ABS($G$15))^(0.25)-1),IF(AND(C15&lt;0,$G$15&gt;0),(-(((ABS(C15)+$G$15/ABS(C15))^0.25)-1)))))))</f>
        <v>-8.162498713273203E-2</v>
      </c>
      <c r="C18" s="33">
        <f>IF(AND(C15&gt;=0,$F$15&gt;0),((C15/$F$15)^(0.333)-1),IF(AND(C15&lt;=0,$F$15&lt;0,C15&lt;$F$15),-((C15/$F$15)^(0.333)-1),IF(AND(C15&lt;=0,$F$15&lt;0,C15&gt;=$F$15),(($F$15/C15)^(0.333)-1),IF(AND(C15&gt;=0,$F$15&lt;0),(((C15+ABS($F$15))/ABS($F$15))^(0.333)-1),IF(AND(C15&lt;0,$F$15&gt;0),(-(((ABS(C15)+$F$15/ABS(C15))^0.333)-1)))))))</f>
        <v>-7.6686533272795177E-2</v>
      </c>
      <c r="D18" s="34">
        <f>IF(AND(C15&gt;=0,$E$15&gt;0),((C15/$E$15)^(0.5)-1),IF(AND(C15&lt;=0,$E$15&lt;0,C15&lt;$E$15),-((C15/$E$15)^(0.5)-1),IF(AND(C15&lt;=0,$E$15&lt;0,C15&gt;=$E$15),(($E$15/C15)^(0.5)-1),IF(AND(C15&gt;=0,$E$15&lt;0),(((E15+ABS($C$15))/ABS($E$15))^(0.5)-1),IF(AND(C15&lt;0,$E$15&gt;0),(-(((ABS(C15)+$E$15/ABS(C15))^0.5)-1)))))))</f>
        <v>-7.2088998806940974E-2</v>
      </c>
      <c r="E18" s="33">
        <f>IF(AND(C15&gt;=0,$D$15&gt;0),((C15/$D$15)^(1)-1),IF(AND(C15&lt;=0,$D$15&lt;0,C15&lt;$D$15),-((C15/$D$15)^(1)-1),IF(AND(C15&lt;=0,$D$15&lt;0,C15&gt;=$D$15),(($D$15/C15)^(1)-1),IF(AND(C15&gt;=0,$D$15&lt;0),(((C15+ABS($D$15))/ABS($D$15))^(1)-1),IF(AND(C15&lt;0,$D$15&gt;0),(-(((ABS(C15)+$D$15/ABS(C15))^1)-1)))))))</f>
        <v>-9.0111176126389636E-2</v>
      </c>
      <c r="F18" s="8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8">
        <v>3</v>
      </c>
      <c r="B20" s="35" t="s">
        <v>77</v>
      </c>
      <c r="C20" s="2"/>
      <c r="D20" s="2"/>
      <c r="E20" s="2"/>
      <c r="F20" s="2"/>
      <c r="G20" s="2"/>
      <c r="H20" s="2"/>
      <c r="I20" s="2"/>
    </row>
    <row r="21" spans="1:9" ht="16" thickBot="1">
      <c r="A21" s="2"/>
      <c r="B21" s="36"/>
      <c r="C21" s="2"/>
      <c r="D21" s="2"/>
      <c r="E21" s="2"/>
      <c r="F21" s="2"/>
      <c r="G21" s="2"/>
      <c r="H21" s="2"/>
      <c r="I21" s="2"/>
    </row>
    <row r="22" spans="1:9" ht="16" thickBot="1">
      <c r="A22" s="2"/>
      <c r="B22" s="20" t="s">
        <v>28</v>
      </c>
      <c r="C22" s="24">
        <v>2014</v>
      </c>
      <c r="D22" s="24">
        <v>2013</v>
      </c>
      <c r="E22" s="24">
        <v>2012</v>
      </c>
      <c r="F22" s="24">
        <v>2011</v>
      </c>
      <c r="G22" s="24">
        <v>2010</v>
      </c>
      <c r="H22" s="2"/>
      <c r="I22" s="2"/>
    </row>
    <row r="23" spans="1:9" ht="16" thickBot="1">
      <c r="A23" s="2"/>
      <c r="B23" s="30" t="s">
        <v>78</v>
      </c>
      <c r="C23" s="37">
        <v>12.56</v>
      </c>
      <c r="D23" s="37">
        <v>13.11</v>
      </c>
      <c r="E23" s="37">
        <v>12.12</v>
      </c>
      <c r="F23" s="37">
        <v>14.12</v>
      </c>
      <c r="G23" s="37">
        <v>14.21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 ht="24">
      <c r="A25" s="2"/>
      <c r="B25" s="24" t="s">
        <v>73</v>
      </c>
      <c r="C25" s="24" t="s">
        <v>74</v>
      </c>
      <c r="D25" s="24" t="s">
        <v>75</v>
      </c>
      <c r="E25" s="24" t="s">
        <v>76</v>
      </c>
      <c r="F25" s="38"/>
      <c r="G25" s="2"/>
      <c r="H25" s="2"/>
      <c r="I25" s="2"/>
    </row>
    <row r="26" spans="1:9">
      <c r="A26" s="2"/>
      <c r="B26" s="33">
        <f>IF(AND(C23&gt;=0,$G$23&gt;0),((C23/$G$23)^(0.25)-1),IF(AND(C23&lt;=0,$G$23&lt;0,C23&lt;$G$23),-((C23/$G$23)^(0.25)-1),IF(AND(C23&lt;=0,$G$23&lt;0,C23&gt;=$G$23),(($G$23/C23)^(0.25)-1),IF(AND(C23&gt;=0,$G$23&lt;0),(((C23+ABS($G$23))/ABS($G$23))^(0.25)-1),IF(AND(C23&lt;0,$G$23&gt;0),(-(((ABS(C23)+$G$23/ABS(C23))^0.25)-1)))))))</f>
        <v>-3.0385971338021567E-2</v>
      </c>
      <c r="C26" s="33">
        <f>IF(AND(C23&gt;=0,$F$23&gt;0),((C23/$F$23)^(0.333)-1),IF(AND(C23&lt;=0,$F$23&lt;0,C23&lt;$F$23),-((C23/$F$23)^(0.333)-1),IF(AND(C23&lt;=0,$F$23&lt;0,C23&gt;=$F$23),(($F$23/C23)^(0.333)-1),IF(AND(C23&gt;=0,$F$23&lt;0),(((C23+ABS($F$23))/ABS($F$23))^(0.333)-1),IF(AND(C23&lt;0,$F$23&gt;0),(-(((ABS(C23)+$F$23/ABS(C23))^0.333)-1)))))))</f>
        <v>-3.8235824952359776E-2</v>
      </c>
      <c r="D26" s="33">
        <f>IF(AND(C23&gt;=0,$E$23&gt;0),((C23/$E$23)^(0.5)-1),IF(AND(C23&lt;=0,$E$23&lt;0,C23&lt;$E$23),-((C23/$E$23)^(0.5)-1),IF(AND(C23&lt;=0,$E$23&lt;0,C23&gt;=$E$23),(($E$23/C23)^(0.5)-1),IF(AND(C23&gt;=0,$E$23&lt;0),(((E23+ABS($E$23))/ABS($E$23))^(0.5)-1),IF(AND(C23&lt;0,$E$23&gt;0),(-(((ABS(C23)+$E$23/ABS(C23))^0.5)-1)))))))</f>
        <v>1.79899952175544E-2</v>
      </c>
      <c r="E26" s="33">
        <f>IF(AND(C23&gt;=0,$D$23&gt;0),((C23/$D$23)^(1)-1),IF(AND(C23&lt;=0,$D$23&lt;0,C23&lt;$D$23),-((C23/$D$23)^(1)-1),IF(AND(C23&lt;=0,$D$23&lt;0,C23&gt;=$D$23),(($D$23/C23)^(1)-1),IF(AND(C23&gt;=0,$D$23&lt;0),(((C23+ABS($D$23))/ABS($D$23))^(1)-1),IF(AND(C23&lt;0,$D$23&gt;0),(-(((ABS(C23)+$D$23/ABS(C23))^1)-1)))))))</f>
        <v>-4.1952707856597993E-2</v>
      </c>
      <c r="F26" s="18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8">
        <v>4</v>
      </c>
      <c r="B28" s="35" t="s">
        <v>79</v>
      </c>
      <c r="C28" s="2"/>
      <c r="D28" s="2"/>
      <c r="E28" s="2"/>
      <c r="F28" s="2"/>
      <c r="G28" s="2"/>
      <c r="H28" s="2"/>
      <c r="I28" s="2"/>
    </row>
    <row r="29" spans="1:9" ht="16" thickBot="1">
      <c r="A29" s="2"/>
      <c r="B29" s="2"/>
      <c r="C29" s="2"/>
      <c r="D29" s="2"/>
      <c r="E29" s="2"/>
      <c r="F29" s="2"/>
      <c r="G29" s="2"/>
      <c r="H29" s="2"/>
      <c r="I29" s="2"/>
    </row>
    <row r="30" spans="1:9" ht="16" thickBot="1">
      <c r="A30" s="2"/>
      <c r="B30" s="20" t="s">
        <v>28</v>
      </c>
      <c r="C30" s="24">
        <v>2014</v>
      </c>
      <c r="D30" s="24">
        <v>2013</v>
      </c>
      <c r="E30" s="24">
        <v>2012</v>
      </c>
      <c r="F30" s="24">
        <v>2011</v>
      </c>
      <c r="G30" s="24">
        <v>2010</v>
      </c>
      <c r="H30" s="2"/>
      <c r="I30" s="2"/>
    </row>
    <row r="31" spans="1:9" ht="25" thickBot="1">
      <c r="A31" s="2"/>
      <c r="B31" s="30" t="s">
        <v>80</v>
      </c>
      <c r="C31" s="39">
        <v>182795</v>
      </c>
      <c r="D31" s="39">
        <v>170910</v>
      </c>
      <c r="E31" s="39">
        <v>156508</v>
      </c>
      <c r="F31" s="39">
        <v>108249</v>
      </c>
      <c r="G31" s="39">
        <v>65225</v>
      </c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 ht="16" thickBot="1">
      <c r="A33" s="2"/>
      <c r="B33" s="8" t="s">
        <v>81</v>
      </c>
      <c r="C33" s="2"/>
      <c r="D33" s="2"/>
      <c r="E33" s="2"/>
      <c r="F33" s="2"/>
      <c r="G33" s="2"/>
      <c r="H33" s="2"/>
      <c r="I33" s="2"/>
    </row>
    <row r="34" spans="1:9" ht="25" thickBot="1">
      <c r="A34" s="2"/>
      <c r="B34" s="20" t="s">
        <v>73</v>
      </c>
      <c r="C34" s="21" t="s">
        <v>74</v>
      </c>
      <c r="D34" s="21" t="s">
        <v>75</v>
      </c>
      <c r="E34" s="21" t="s">
        <v>76</v>
      </c>
      <c r="F34" s="2"/>
      <c r="G34" s="2"/>
      <c r="H34" s="2"/>
      <c r="I34" s="2"/>
    </row>
    <row r="35" spans="1:9">
      <c r="A35" s="2"/>
      <c r="B35" s="40">
        <f>IF(AND(C31&gt;=0,$G$31&gt;0),((C31/$G$31)^(0.25)-1),IF(AND(C31&lt;=0,$G$31&lt;0,C31&lt;$G$31),-((C31/$G$31)^(0.25)-1),IF(AND(C31&lt;=0,$G$31&lt;0,C31&gt;=$G$31),(($G$31/C31)^(0.25)-1),IF(AND(C31&gt;=0,$G$31&lt;0),(((C31+ABS($G$31))/ABS($G$31))^(0.25)-1),IF(AND(C31&lt;0,$G$31&gt;0),(-(((ABS(C31)+$G$31/ABS(C31))^0.25)-1)))))))</f>
        <v>0.29386080252935165</v>
      </c>
      <c r="C35" s="40">
        <f>IF(AND(C31&gt;=0,$F$31&gt;0),((C31/$F$31)^(0.333)-1),IF(AND(C31&lt;=0,$F$31&lt;0,C31&lt;$F$31),-((C31/$F$31)^(0.333)-1),IF(AND(C31&lt;=0,$F$31&lt;0,C31&gt;=$F$31),(($F$31/C31)^(0.333)-1),IF(AND(C31&gt;=0,$F$31&lt;0),(((C31+ABS($F$31))/ABS($F$31))^(0.333)-1),IF(AND(C31&lt;0,$F$31&gt;0),(-(((ABS(C31)+$F$31/ABS(C31))^0.333)-1)))))))</f>
        <v>0.19061393049633546</v>
      </c>
      <c r="D35" s="40">
        <f>IF(AND(C31&gt;=0,$E$31&gt;0),((C31/$E$31)^(0.5)-1),IF(AND(C31&lt;=0,$E$31&lt;0,C31&lt;$E$31),-((C31/$E$31)^(0.5)-1),IF(AND(C31&lt;=0,$E$31&lt;0,C31&gt;=$E$31),(($E$31/C31)^(0.5)-1),IF(AND(C31&gt;=0,$E$31&lt;0),(((E31+ABS($E$31))/ABS($E$31))^(0.5)-1),IF(AND(C31&lt;0,$E$31&gt;0),(-(((ABS(C31)+$E$31/ABS(C31))^0.5)-1)))))))</f>
        <v>8.0721733533126283E-2</v>
      </c>
      <c r="E35" s="40">
        <f>IF(AND(C31&gt;=0,$D$31&gt;0),((C31/$D$31)^(1)-1),IF(AND(C31&lt;=0,$D$31&lt;0,C31&lt;$D$31),-((C31/$D$31)^(1)-1),IF(AND(C31&lt;=0,$D$31&lt;0,C31&gt;=$D$31),(($D$31/C31)^(1)-1),IF(AND(C31&gt;=0,$D$31&lt;0),(((C31+ABS($D$31))/ABS($D$31))^(1)-1),IF(AND(C31&lt;0,$D$31&gt;0),(-(((ABS(C31)+$D$31/ABS(C31))^1)-1)))))))</f>
        <v>6.9539523725937524E-2</v>
      </c>
      <c r="F35" s="2"/>
      <c r="G35" s="2"/>
      <c r="H35" s="2"/>
      <c r="I35" s="2"/>
    </row>
    <row r="36" spans="1:9">
      <c r="A36" s="2"/>
      <c r="B36" s="41"/>
      <c r="C36" s="41"/>
      <c r="D36" s="41"/>
      <c r="E36" s="41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8">
        <v>5</v>
      </c>
      <c r="B38" s="35" t="s">
        <v>82</v>
      </c>
      <c r="C38" s="2"/>
      <c r="D38" s="2"/>
      <c r="E38" s="2"/>
      <c r="F38" s="2"/>
      <c r="G38" s="2"/>
      <c r="H38" s="2"/>
      <c r="I38" s="2"/>
    </row>
    <row r="39" spans="1:9" ht="16" thickBot="1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42" t="s">
        <v>28</v>
      </c>
      <c r="C40" s="24">
        <v>2014</v>
      </c>
      <c r="D40" s="24">
        <v>2013</v>
      </c>
      <c r="E40" s="24">
        <v>2012</v>
      </c>
      <c r="F40" s="24">
        <v>2011</v>
      </c>
      <c r="G40" s="24">
        <v>2010</v>
      </c>
      <c r="H40" s="2"/>
      <c r="I40" s="2"/>
    </row>
    <row r="41" spans="1:9">
      <c r="A41" s="2"/>
      <c r="B41" s="24" t="s">
        <v>83</v>
      </c>
      <c r="C41" s="25">
        <v>7047</v>
      </c>
      <c r="D41" s="25">
        <v>6478</v>
      </c>
      <c r="E41" s="25">
        <v>-299</v>
      </c>
      <c r="F41" s="25">
        <v>5757</v>
      </c>
      <c r="G41" s="25">
        <v>1212</v>
      </c>
      <c r="H41" s="2"/>
      <c r="I41" s="2"/>
    </row>
    <row r="42" spans="1:9">
      <c r="A42" s="2"/>
      <c r="B42" s="24" t="s">
        <v>84</v>
      </c>
      <c r="C42" s="25">
        <v>9571</v>
      </c>
      <c r="D42" s="25">
        <v>8165</v>
      </c>
      <c r="E42" s="25">
        <v>8295</v>
      </c>
      <c r="F42" s="25">
        <v>4260</v>
      </c>
      <c r="G42" s="25">
        <v>2005</v>
      </c>
      <c r="H42" s="2"/>
      <c r="I42" s="2"/>
    </row>
    <row r="43" spans="1:9">
      <c r="A43" s="2"/>
      <c r="B43" s="24" t="s">
        <v>85</v>
      </c>
      <c r="C43" s="25">
        <f>C41-C42</f>
        <v>-2524</v>
      </c>
      <c r="D43" s="25">
        <f>D41-D42</f>
        <v>-1687</v>
      </c>
      <c r="E43" s="25">
        <f>E41-E42</f>
        <v>-8594</v>
      </c>
      <c r="F43" s="25">
        <f>F41-F42</f>
        <v>1497</v>
      </c>
      <c r="G43" s="25">
        <f>G41-G42</f>
        <v>-793</v>
      </c>
      <c r="H43" s="2"/>
      <c r="I43" s="2"/>
    </row>
    <row r="44" spans="1:9" ht="16" thickBot="1">
      <c r="A44" s="2"/>
      <c r="B44" s="8" t="s">
        <v>86</v>
      </c>
      <c r="C44" s="2"/>
      <c r="D44" s="2"/>
      <c r="E44" s="2"/>
      <c r="F44" s="2"/>
      <c r="G44" s="2"/>
      <c r="H44" s="2"/>
      <c r="I44" s="2"/>
    </row>
    <row r="45" spans="1:9" ht="25" thickBot="1">
      <c r="A45" s="2"/>
      <c r="B45" s="20" t="s">
        <v>73</v>
      </c>
      <c r="C45" s="21" t="s">
        <v>74</v>
      </c>
      <c r="D45" s="21" t="s">
        <v>75</v>
      </c>
      <c r="E45" s="21" t="s">
        <v>76</v>
      </c>
      <c r="F45" s="2"/>
      <c r="G45" s="2"/>
      <c r="H45" s="2"/>
      <c r="I45" s="2"/>
    </row>
    <row r="46" spans="1:9">
      <c r="A46" s="2"/>
      <c r="B46" s="40">
        <f>IF(AND(C41&gt;=0,$G$41&gt;0),((C41/$G$41)^(0.25)-1),IF(AND(C41&lt;=0,$G$41&lt;0,C41&lt;$G$41),-((C41/$G$41)^(0.25)-1),IF(AND(C41&lt;=0,$G$41&lt;0,C41&gt;=$G$41),(($G$41/C41)^(0.25)-1),IF(AND(C41&gt;=0,$G$41&lt;0),(((C41+ABS($G$41))/ABS($G$41))^(0.25)-1),IF(AND(C41&lt;0,$G$41&gt;0),(-(((ABS(C41)+$G$41/ABS(C41))^0.25)-1)))))))</f>
        <v>0.55283536356207952</v>
      </c>
      <c r="C46" s="40">
        <f>IF(AND(C41&gt;=0,$F$41&gt;0),((C41/$F$41)^(0.333)-1),IF(AND(C41&lt;=0,$F$41&lt;0,C41&lt;$F$41),-((C41/$F$41)^(0.333)-1),IF(AND(C41&lt;=0,$F$41&lt;0,C41&gt;=$F$41),(($F$41/C41)^(0.333)-1),IF(AND(C41&gt;=0,$F$41&lt;0),(((C41+ABS($F$41))/ABS($F$41))^(0.333)-1),IF(AND(C41&lt;0,$F$41&gt;0),(-(((ABS(C41)+$F$41/ABS(C41))^0.333)-1)))))))</f>
        <v>6.9646016160781032E-2</v>
      </c>
      <c r="D46" s="40">
        <f>IF(AND(C41&gt;=0,$E$41&gt;0),((C41/$E$41)^(0.5)-1),IF(AND(C41&lt;=0,$E$41&lt;0,C41&lt;$E$41),-((C41/$E$41)^(0.5)-1),IF(AND(C41&lt;=0,$E$41&lt;0,C41&gt;=$E$41),(($E$41/C41)^(0.5)-1),IF(AND(C41&gt;=0,$E$41&lt;0),(((E41+ABS($E$41))/ABS($E$41))^(0.5)-1),IF(AND(C41&lt;0,$E$41&gt;0),(-(((ABS(C41)+$E$41/ABS(C41))^0.5)-1)))))))</f>
        <v>-1</v>
      </c>
      <c r="E46" s="40">
        <f>IF(AND(C41&gt;=0,$D$41&gt;0),((C41/$D$41)^(1)-1),IF(AND(C41&lt;=0,$D$41&lt;0,C41&lt;$D$41),-((C41/$D$41)^(1)-1),IF(AND(C41&lt;=0,$D$41&lt;0,C41&gt;=$D$41),(($D$41/C41)^(1)-1),IF(AND(C41&gt;=0,$D$41&lt;0),(((C41+ABS($D$41))/ABS($D$41))^(1)-1),IF(AND(C41&lt;0,$D$41&gt;0),(-(((ABS(C41)+$D$41/ABS(C41))^1)-1)))))))</f>
        <v>8.7835751775239279E-2</v>
      </c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 ht="16" thickBot="1">
      <c r="A48" s="2"/>
      <c r="B48" s="8" t="s">
        <v>87</v>
      </c>
      <c r="C48" s="2"/>
      <c r="D48" s="2"/>
      <c r="E48" s="2"/>
      <c r="F48" s="2"/>
      <c r="G48" s="2"/>
      <c r="H48" s="2"/>
      <c r="I48" s="2"/>
    </row>
    <row r="49" spans="1:9" ht="25" thickBot="1">
      <c r="A49" s="2"/>
      <c r="B49" s="20" t="s">
        <v>73</v>
      </c>
      <c r="C49" s="21" t="s">
        <v>74</v>
      </c>
      <c r="D49" s="21" t="s">
        <v>75</v>
      </c>
      <c r="E49" s="21" t="s">
        <v>76</v>
      </c>
      <c r="F49" s="2"/>
      <c r="G49" s="2"/>
      <c r="H49" s="2"/>
      <c r="I49" s="2"/>
    </row>
    <row r="50" spans="1:9">
      <c r="A50" s="2"/>
      <c r="B50" s="40">
        <f>IF(AND(C43&gt;=0,$G$43&gt;0),((C43/$G$43)^(0.25)-1),IF(AND(C43&lt;=0,$G$43&lt;0,C43&lt;$G$43),-((C43/$G$43)^(0.25)-1),IF(AND(C43&lt;=0,$G$43&lt;0,C43&gt;=$G$43),(($G$43/C43)^(0.25)-1),IF(AND(C43&gt;=0,$G$43&lt;0),(((C43+ABS($G$43))/ABS($G$43))^(0.25)-1),IF(AND(C43&lt;0,$G$43&gt;0),(-(((ABS(C43)+$G$43/ABS(C43))^0.25)-1)))))))</f>
        <v>-0.33568497547058707</v>
      </c>
      <c r="C50" s="40">
        <f>IF(AND(C43&gt;=0,$F$43&gt;0),((C43/$F$43)^(0.333)-1),IF(AND(C43&lt;=0,$F$43&lt;0,C43&lt;$F$43),-((C43/$F$43)^(0.333)-1),IF(AND(C43&lt;=0,$F$43&lt;0,C43&gt;=$F$43),(($F$43/C43)^(0.333)-1),IF(AND(C43&gt;=0,$F$43&lt;0),(((C43+ABS($F$43))/ABS($F$43))^(0.333)-1),IF(AND(C43&lt;0,$F$43&gt;0),(-(((ABS(C43)+$F$43/ABS(C43))^0.333)-1)))))))</f>
        <v>-12.580936966689565</v>
      </c>
      <c r="D50" s="40">
        <f>IF(AND(C43&gt;=0,$E$43&gt;0),((C43/$E$43)^(0.5)-1),IF(AND(C43&lt;=0,$E$43&lt;0,C43&lt;$E$43),-((C43/$E$43)^(0.5)-1),IF(AND(C43&lt;=0,$E$43&lt;0,C43&gt;=$E$43),(($E$43/C43)^(0.5)-1),IF(AND(C43&gt;=0,$E$43&lt;0),(((E43+ABS($E$43))/ABS($E$43))^(0.5)-1),IF(AND(C43&lt;0,$E$43&gt;0),(-(((ABS(C43)+$E$43/ABS(C43))^0.5)-1)))))))</f>
        <v>0.84524059048326716</v>
      </c>
      <c r="E50" s="40">
        <f>IF(AND(C43&gt;=0,$D$43&gt;0),((C43/$D$43)^(1)-1),IF(AND(C43&lt;=0,$D$43&lt;0,C43&lt;$D$43),-((C43/$D$43)^(1)-1),IF(AND(C43&lt;=0,$D$43&lt;0,C43&gt;=$D$43),(($D$43/C43)^(1)-1),IF(AND(C43&gt;=0,$D$43&lt;0),(((C43+ABS($D$43))/ABS($D$43))^(1)-1),IF(AND(C43&lt;0,$D$43&gt;0),(-(((ABS(C43)+$D$43/ABS(C43))^1)-1)))))))</f>
        <v>-0.49614700652045052</v>
      </c>
      <c r="F50" s="2"/>
      <c r="G50" s="2"/>
      <c r="H50" s="2"/>
      <c r="I50" s="2"/>
    </row>
    <row r="51" spans="1:9">
      <c r="A51" s="2"/>
      <c r="B51" s="41"/>
      <c r="C51" s="41"/>
      <c r="D51" s="41"/>
      <c r="E51" s="41"/>
      <c r="F51" s="2"/>
      <c r="G51" s="2"/>
      <c r="H51" s="2"/>
      <c r="I51" s="2"/>
    </row>
    <row r="52" spans="1:9">
      <c r="A52" s="2"/>
      <c r="B52" s="41"/>
      <c r="C52" s="41"/>
      <c r="D52" s="41"/>
      <c r="E52" s="41"/>
      <c r="F52" s="2"/>
      <c r="G52" s="2"/>
      <c r="H52" s="2"/>
      <c r="I52" s="2"/>
    </row>
    <row r="53" spans="1:9">
      <c r="A53" s="43">
        <v>6</v>
      </c>
      <c r="B53" s="85" t="s">
        <v>88</v>
      </c>
      <c r="C53" s="86"/>
      <c r="D53" s="86"/>
      <c r="E53" s="86"/>
      <c r="F53" s="86"/>
      <c r="G53" s="86"/>
      <c r="H53" s="2"/>
      <c r="I53" s="2"/>
    </row>
    <row r="54" spans="1:9">
      <c r="A54" s="2"/>
      <c r="B54" s="33" t="s">
        <v>28</v>
      </c>
      <c r="C54" s="24">
        <v>2014</v>
      </c>
      <c r="D54" s="24">
        <v>2013</v>
      </c>
      <c r="E54" s="24">
        <v>2012</v>
      </c>
      <c r="F54" s="24">
        <v>2011</v>
      </c>
      <c r="G54" s="24">
        <v>2010</v>
      </c>
      <c r="H54" s="2"/>
      <c r="I54" s="2"/>
    </row>
    <row r="55" spans="1:9">
      <c r="A55" s="2"/>
      <c r="B55" s="33" t="s">
        <v>89</v>
      </c>
      <c r="C55" s="44">
        <f>C31</f>
        <v>182795</v>
      </c>
      <c r="D55" s="44">
        <f>D31</f>
        <v>170910</v>
      </c>
      <c r="E55" s="44">
        <f>E31</f>
        <v>156508</v>
      </c>
      <c r="F55" s="44">
        <f>F31</f>
        <v>108249</v>
      </c>
      <c r="G55" s="44">
        <f>G31</f>
        <v>65225</v>
      </c>
      <c r="H55" s="2"/>
      <c r="I55" s="2"/>
    </row>
    <row r="56" spans="1:9">
      <c r="A56" s="2"/>
      <c r="B56" s="33" t="s">
        <v>43</v>
      </c>
      <c r="C56" s="45">
        <v>70537</v>
      </c>
      <c r="D56" s="45">
        <v>64304</v>
      </c>
      <c r="E56" s="45">
        <v>68662</v>
      </c>
      <c r="F56" s="45">
        <v>43818</v>
      </c>
      <c r="G56" s="45">
        <v>25684</v>
      </c>
      <c r="H56" s="2"/>
      <c r="I56" s="2"/>
    </row>
    <row r="57" spans="1:9" ht="24">
      <c r="A57" s="2"/>
      <c r="B57" s="33" t="s">
        <v>90</v>
      </c>
      <c r="C57" s="45">
        <f>C56/C55</f>
        <v>0.38588035777783858</v>
      </c>
      <c r="D57" s="45">
        <f>D56/D55</f>
        <v>0.37624480720847231</v>
      </c>
      <c r="E57" s="45">
        <f>E56/E55</f>
        <v>0.43871239808827661</v>
      </c>
      <c r="F57" s="45">
        <f>F56/F55</f>
        <v>0.40478895878945764</v>
      </c>
      <c r="G57" s="45">
        <f>G56/G55</f>
        <v>0.39377539287083174</v>
      </c>
      <c r="H57" s="2"/>
      <c r="I57" s="2"/>
    </row>
    <row r="58" spans="1:9">
      <c r="A58" s="2"/>
      <c r="B58" s="41"/>
      <c r="C58" s="41"/>
      <c r="D58" s="41"/>
      <c r="E58" s="41"/>
      <c r="F58" s="2"/>
      <c r="G58" s="2"/>
      <c r="H58" s="2"/>
      <c r="I58" s="2"/>
    </row>
    <row r="59" spans="1:9">
      <c r="A59" s="2"/>
      <c r="B59" s="41"/>
      <c r="C59" s="41"/>
      <c r="D59" s="41"/>
      <c r="E59" s="41"/>
      <c r="F59" s="2"/>
      <c r="G59" s="2"/>
      <c r="H59" s="2"/>
      <c r="I59" s="2"/>
    </row>
    <row r="60" spans="1:9">
      <c r="A60" s="43">
        <v>7</v>
      </c>
      <c r="B60" s="85" t="s">
        <v>91</v>
      </c>
      <c r="C60" s="85"/>
      <c r="D60" s="85"/>
      <c r="E60" s="87"/>
      <c r="F60" s="87"/>
      <c r="G60" s="87"/>
      <c r="H60" s="2"/>
      <c r="I60" s="2"/>
    </row>
    <row r="61" spans="1:9">
      <c r="A61" s="2"/>
      <c r="B61" s="33" t="s">
        <v>28</v>
      </c>
      <c r="C61" s="24">
        <v>2014</v>
      </c>
      <c r="D61" s="24">
        <v>2013</v>
      </c>
      <c r="E61" s="24">
        <v>2012</v>
      </c>
      <c r="F61" s="24">
        <v>2011</v>
      </c>
      <c r="G61" s="24">
        <v>2010</v>
      </c>
      <c r="H61" s="2"/>
      <c r="I61" s="2"/>
    </row>
    <row r="62" spans="1:9">
      <c r="A62" s="2"/>
      <c r="B62" s="33" t="s">
        <v>89</v>
      </c>
      <c r="C62" s="44">
        <f>C31</f>
        <v>182795</v>
      </c>
      <c r="D62" s="44">
        <f>D31</f>
        <v>170910</v>
      </c>
      <c r="E62" s="44">
        <f>E31</f>
        <v>156508</v>
      </c>
      <c r="F62" s="44">
        <f>F31</f>
        <v>108249</v>
      </c>
      <c r="G62" s="44">
        <f>G31</f>
        <v>65225</v>
      </c>
      <c r="H62" s="2"/>
      <c r="I62" s="2"/>
    </row>
    <row r="63" spans="1:9" ht="24">
      <c r="A63" s="2"/>
      <c r="B63" s="33" t="s">
        <v>92</v>
      </c>
      <c r="C63" s="25">
        <v>52503</v>
      </c>
      <c r="D63" s="25">
        <v>48999</v>
      </c>
      <c r="E63" s="25">
        <v>55241</v>
      </c>
      <c r="F63" s="25">
        <v>33790</v>
      </c>
      <c r="G63" s="25">
        <v>18385</v>
      </c>
      <c r="H63" s="2"/>
      <c r="I63" s="2"/>
    </row>
    <row r="64" spans="1:9" ht="24">
      <c r="A64" s="2"/>
      <c r="B64" s="33" t="s">
        <v>93</v>
      </c>
      <c r="C64" s="45">
        <f>C63/C62</f>
        <v>0.28722339232473537</v>
      </c>
      <c r="D64" s="45">
        <f>D63/D62</f>
        <v>0.28669475162366159</v>
      </c>
      <c r="E64" s="45">
        <f>E63/E62</f>
        <v>0.35295959311984054</v>
      </c>
      <c r="F64" s="45">
        <f>F63/F62</f>
        <v>0.31215068961376086</v>
      </c>
      <c r="G64" s="45">
        <f>G63/G62</f>
        <v>0.28187044844768111</v>
      </c>
      <c r="H64" s="2"/>
      <c r="I64" s="2"/>
    </row>
    <row r="65" spans="1:9">
      <c r="A65" s="2"/>
      <c r="B65" s="46"/>
      <c r="C65" s="46"/>
      <c r="D65" s="46"/>
      <c r="E65" s="46"/>
      <c r="F65" s="2"/>
      <c r="G65" s="2"/>
      <c r="H65" s="2"/>
      <c r="I65" s="2"/>
    </row>
    <row r="66" spans="1:9">
      <c r="A66" s="2"/>
      <c r="B66" s="46"/>
      <c r="C66" s="46"/>
      <c r="D66" s="46"/>
      <c r="E66" s="46"/>
      <c r="F66" s="2"/>
      <c r="G66" s="2"/>
      <c r="H66" s="2"/>
      <c r="I66" s="2"/>
    </row>
    <row r="67" spans="1:9">
      <c r="A67" s="43">
        <v>8</v>
      </c>
      <c r="B67" s="85" t="s">
        <v>94</v>
      </c>
      <c r="C67" s="85"/>
      <c r="D67" s="85"/>
      <c r="E67" s="88"/>
      <c r="F67" s="88"/>
      <c r="G67" s="88"/>
      <c r="H67" s="2"/>
      <c r="I67" s="2"/>
    </row>
    <row r="68" spans="1:9">
      <c r="A68" s="2"/>
      <c r="B68" s="33" t="s">
        <v>28</v>
      </c>
      <c r="C68" s="24">
        <v>2014</v>
      </c>
      <c r="D68" s="24">
        <v>2013</v>
      </c>
      <c r="E68" s="24">
        <v>2012</v>
      </c>
      <c r="F68" s="24">
        <v>2011</v>
      </c>
      <c r="G68" s="24">
        <v>2010</v>
      </c>
      <c r="H68" s="2"/>
      <c r="I68" s="2"/>
    </row>
    <row r="69" spans="1:9">
      <c r="A69" s="2"/>
      <c r="B69" s="33" t="s">
        <v>89</v>
      </c>
      <c r="C69" s="44">
        <f>C62</f>
        <v>182795</v>
      </c>
      <c r="D69" s="44">
        <f>D62</f>
        <v>170910</v>
      </c>
      <c r="E69" s="44">
        <f>E62</f>
        <v>156508</v>
      </c>
      <c r="F69" s="44">
        <f>F62</f>
        <v>108249</v>
      </c>
      <c r="G69" s="44">
        <f>G62</f>
        <v>65225</v>
      </c>
      <c r="H69" s="2"/>
      <c r="I69" s="2"/>
    </row>
    <row r="70" spans="1:9">
      <c r="A70" s="2"/>
      <c r="B70" s="33" t="s">
        <v>45</v>
      </c>
      <c r="C70" s="45">
        <f>C5</f>
        <v>39510</v>
      </c>
      <c r="D70" s="45">
        <f>D5</f>
        <v>37037</v>
      </c>
      <c r="E70" s="45">
        <f>E5</f>
        <v>41733</v>
      </c>
      <c r="F70" s="45">
        <f>F5</f>
        <v>25922</v>
      </c>
      <c r="G70" s="45">
        <f>G5</f>
        <v>14013</v>
      </c>
      <c r="H70" s="2"/>
      <c r="I70" s="2"/>
    </row>
    <row r="71" spans="1:9">
      <c r="A71" s="2"/>
      <c r="B71" s="33" t="s">
        <v>95</v>
      </c>
      <c r="C71" s="45">
        <f>C70/C69</f>
        <v>0.21614376760852322</v>
      </c>
      <c r="D71" s="45">
        <f>D70/D69</f>
        <v>0.21670469837926393</v>
      </c>
      <c r="E71" s="45">
        <f>E70/E69</f>
        <v>0.26665090602397323</v>
      </c>
      <c r="F71" s="45">
        <f>F70/F69</f>
        <v>0.2394664153941376</v>
      </c>
      <c r="G71" s="45">
        <f>G70/G69</f>
        <v>0.21484093522422384</v>
      </c>
      <c r="H71" s="2"/>
      <c r="I71" s="2"/>
    </row>
    <row r="72" spans="1:9">
      <c r="A72" s="2"/>
      <c r="B72" s="46"/>
      <c r="C72" s="46"/>
      <c r="D72" s="46"/>
      <c r="E72" s="46"/>
      <c r="F72" s="18"/>
      <c r="G72" s="18"/>
      <c r="H72" s="2"/>
      <c r="I72" s="2"/>
    </row>
    <row r="73" spans="1:9">
      <c r="A73" s="2"/>
      <c r="B73" s="46"/>
      <c r="C73" s="46"/>
      <c r="D73" s="46"/>
      <c r="E73" s="46"/>
      <c r="F73" s="2"/>
      <c r="G73" s="2"/>
      <c r="H73" s="2"/>
      <c r="I73" s="2"/>
    </row>
    <row r="74" spans="1:9">
      <c r="A74" s="43">
        <v>9</v>
      </c>
      <c r="B74" s="85" t="s">
        <v>96</v>
      </c>
      <c r="C74" s="85"/>
      <c r="D74" s="85"/>
      <c r="E74" s="85"/>
      <c r="F74" s="85"/>
      <c r="G74" s="85"/>
      <c r="H74" s="2"/>
      <c r="I74" s="2"/>
    </row>
    <row r="75" spans="1:9">
      <c r="A75" s="2"/>
      <c r="B75" s="33" t="s">
        <v>28</v>
      </c>
      <c r="C75" s="24">
        <v>2014</v>
      </c>
      <c r="D75" s="24">
        <v>2013</v>
      </c>
      <c r="E75" s="24">
        <v>2012</v>
      </c>
      <c r="F75" s="24">
        <v>2011</v>
      </c>
      <c r="G75" s="24">
        <v>2010</v>
      </c>
      <c r="H75" s="2"/>
      <c r="I75" s="2"/>
    </row>
    <row r="76" spans="1:9">
      <c r="A76" s="2"/>
      <c r="B76" s="33" t="s">
        <v>89</v>
      </c>
      <c r="C76" s="45">
        <f>C31</f>
        <v>182795</v>
      </c>
      <c r="D76" s="45">
        <f>D31</f>
        <v>170910</v>
      </c>
      <c r="E76" s="45">
        <f>E31</f>
        <v>156508</v>
      </c>
      <c r="F76" s="45">
        <f>F31</f>
        <v>108249</v>
      </c>
      <c r="G76" s="45">
        <f>G31</f>
        <v>65225</v>
      </c>
      <c r="H76" s="2"/>
      <c r="I76" s="2"/>
    </row>
    <row r="77" spans="1:9" ht="24">
      <c r="A77" s="2"/>
      <c r="B77" s="33" t="s">
        <v>97</v>
      </c>
      <c r="C77" s="45">
        <f>C43</f>
        <v>-2524</v>
      </c>
      <c r="D77" s="45">
        <f>D43</f>
        <v>-1687</v>
      </c>
      <c r="E77" s="45">
        <f>E43</f>
        <v>-8594</v>
      </c>
      <c r="F77" s="45">
        <f>F43</f>
        <v>1497</v>
      </c>
      <c r="G77" s="45">
        <f>G43</f>
        <v>-793</v>
      </c>
      <c r="H77" s="2"/>
      <c r="I77" s="2"/>
    </row>
    <row r="78" spans="1:9">
      <c r="A78" s="2"/>
      <c r="B78" s="33" t="s">
        <v>98</v>
      </c>
      <c r="C78" s="45">
        <f>C77/C76</f>
        <v>-1.3807817500478678E-2</v>
      </c>
      <c r="D78" s="45">
        <f>D77/D76</f>
        <v>-9.8706921771692709E-3</v>
      </c>
      <c r="E78" s="45">
        <f>E77/E76</f>
        <v>-5.4910931070616197E-2</v>
      </c>
      <c r="F78" s="45">
        <f>F77/F76</f>
        <v>1.3829227059834271E-2</v>
      </c>
      <c r="G78" s="45">
        <f>G77/G76</f>
        <v>-1.2157914909927176E-2</v>
      </c>
      <c r="H78" s="2"/>
      <c r="I78" s="2"/>
    </row>
    <row r="79" spans="1:9">
      <c r="A79" s="2"/>
      <c r="B79" s="46"/>
      <c r="C79" s="46"/>
      <c r="D79" s="46"/>
      <c r="E79" s="46"/>
      <c r="F79" s="18"/>
      <c r="G79" s="18"/>
      <c r="H79" s="2"/>
      <c r="I79" s="2"/>
    </row>
    <row r="80" spans="1:9">
      <c r="A80" s="2"/>
      <c r="B80" s="46"/>
      <c r="C80" s="46"/>
      <c r="D80" s="46"/>
      <c r="E80" s="46"/>
      <c r="F80" s="2"/>
      <c r="G80" s="2"/>
      <c r="H80" s="2"/>
      <c r="I80" s="2"/>
    </row>
    <row r="81" spans="1:9">
      <c r="A81" s="8">
        <v>10</v>
      </c>
      <c r="B81" s="8" t="s">
        <v>99</v>
      </c>
      <c r="C81" s="2"/>
      <c r="D81" s="2"/>
      <c r="E81" s="2"/>
      <c r="F81" s="2"/>
      <c r="G81" s="2"/>
      <c r="H81" s="2"/>
      <c r="I81" s="2"/>
    </row>
    <row r="82" spans="1:9">
      <c r="A82" s="2"/>
      <c r="B82" s="8"/>
      <c r="C82" s="2"/>
      <c r="D82" s="2"/>
      <c r="E82" s="2"/>
      <c r="F82" s="2"/>
      <c r="G82" s="2"/>
      <c r="H82" s="2"/>
      <c r="I82" s="2"/>
    </row>
    <row r="83" spans="1:9">
      <c r="A83" s="8">
        <v>10.1</v>
      </c>
      <c r="B83" s="35" t="s">
        <v>100</v>
      </c>
      <c r="C83" s="2"/>
      <c r="D83" s="2"/>
      <c r="E83" s="2"/>
      <c r="F83" s="2"/>
      <c r="G83" s="2"/>
      <c r="H83" s="2"/>
      <c r="I83" s="2"/>
    </row>
    <row r="84" spans="1:9">
      <c r="A84" s="2"/>
      <c r="B84" s="24" t="s">
        <v>28</v>
      </c>
      <c r="C84" s="24">
        <v>2014</v>
      </c>
      <c r="D84" s="24">
        <v>2013</v>
      </c>
      <c r="E84" s="24">
        <v>2012</v>
      </c>
      <c r="F84" s="24">
        <v>2011</v>
      </c>
      <c r="G84" s="24">
        <v>2010</v>
      </c>
      <c r="H84" s="2"/>
      <c r="I84" s="2"/>
    </row>
    <row r="85" spans="1:9" ht="24">
      <c r="A85" s="2"/>
      <c r="B85" s="24" t="s">
        <v>101</v>
      </c>
      <c r="C85" s="25">
        <v>68531</v>
      </c>
      <c r="D85" s="25">
        <v>73286</v>
      </c>
      <c r="E85" s="25">
        <v>57653</v>
      </c>
      <c r="F85" s="25">
        <v>44988</v>
      </c>
      <c r="G85" s="25">
        <v>41678</v>
      </c>
      <c r="H85" s="2"/>
      <c r="I85" s="2"/>
    </row>
    <row r="86" spans="1:9" ht="25">
      <c r="A86" s="2"/>
      <c r="B86" s="47" t="s">
        <v>102</v>
      </c>
      <c r="C86" s="48">
        <v>63448</v>
      </c>
      <c r="D86" s="48">
        <v>43658</v>
      </c>
      <c r="E86" s="48">
        <v>38542</v>
      </c>
      <c r="F86" s="48">
        <v>27970</v>
      </c>
      <c r="G86" s="48">
        <v>20722</v>
      </c>
      <c r="H86" s="2"/>
      <c r="I86" s="2"/>
    </row>
    <row r="87" spans="1:9" ht="25">
      <c r="A87" s="2"/>
      <c r="B87" s="47" t="s">
        <v>103</v>
      </c>
      <c r="C87" s="49">
        <f>C85/C86</f>
        <v>1.0801128483167317</v>
      </c>
      <c r="D87" s="49">
        <f>D85/D86</f>
        <v>1.6786385084062485</v>
      </c>
      <c r="E87" s="49">
        <f>E85/E86</f>
        <v>1.4958486845519174</v>
      </c>
      <c r="F87" s="49">
        <f>F85/F86</f>
        <v>1.6084376117268502</v>
      </c>
      <c r="G87" s="49">
        <f>G85/G86</f>
        <v>2.0112923462986196</v>
      </c>
      <c r="H87" s="2"/>
      <c r="I87" s="2"/>
    </row>
    <row r="88" spans="1:9">
      <c r="A88" s="2"/>
      <c r="B88" s="50"/>
      <c r="C88" s="2"/>
      <c r="D88" s="2"/>
      <c r="E88" s="2"/>
      <c r="F88" s="2"/>
      <c r="G88" s="2"/>
      <c r="H88" s="2"/>
      <c r="I88" s="2"/>
    </row>
    <row r="89" spans="1:9">
      <c r="A89" s="8">
        <v>10.199999999999999</v>
      </c>
      <c r="B89" s="35" t="s">
        <v>104</v>
      </c>
      <c r="C89" s="2"/>
      <c r="D89" s="2"/>
      <c r="E89" s="2"/>
      <c r="F89" s="2"/>
      <c r="G89" s="2"/>
      <c r="H89" s="2"/>
      <c r="I89" s="2"/>
    </row>
    <row r="90" spans="1:9">
      <c r="A90" s="2"/>
      <c r="B90" s="24" t="s">
        <v>28</v>
      </c>
      <c r="C90" s="24">
        <v>2014</v>
      </c>
      <c r="D90" s="24">
        <v>2013</v>
      </c>
      <c r="E90" s="24">
        <v>2012</v>
      </c>
      <c r="F90" s="24">
        <v>2011</v>
      </c>
      <c r="G90" s="24">
        <v>2010</v>
      </c>
      <c r="H90" s="2"/>
      <c r="I90" s="2"/>
    </row>
    <row r="91" spans="1:9" ht="24">
      <c r="A91" s="2"/>
      <c r="B91" s="24" t="s">
        <v>101</v>
      </c>
      <c r="C91" s="51">
        <f>C85</f>
        <v>68531</v>
      </c>
      <c r="D91" s="51">
        <f>D85</f>
        <v>73286</v>
      </c>
      <c r="E91" s="51">
        <f>E85</f>
        <v>57653</v>
      </c>
      <c r="F91" s="51">
        <f>F85</f>
        <v>44988</v>
      </c>
      <c r="G91" s="51">
        <f>G85</f>
        <v>41678</v>
      </c>
      <c r="H91" s="2"/>
      <c r="I91" s="2"/>
    </row>
    <row r="92" spans="1:9">
      <c r="A92" s="2"/>
      <c r="B92" s="24" t="s">
        <v>105</v>
      </c>
      <c r="C92" s="51">
        <v>2111</v>
      </c>
      <c r="D92" s="51">
        <v>1764</v>
      </c>
      <c r="E92" s="51">
        <v>791</v>
      </c>
      <c r="F92" s="51">
        <v>776</v>
      </c>
      <c r="G92" s="51">
        <v>1051</v>
      </c>
      <c r="H92" s="2"/>
      <c r="I92" s="2"/>
    </row>
    <row r="93" spans="1:9" ht="25">
      <c r="A93" s="2"/>
      <c r="B93" s="47" t="s">
        <v>102</v>
      </c>
      <c r="C93" s="52">
        <f>C86</f>
        <v>63448</v>
      </c>
      <c r="D93" s="52">
        <f>D86</f>
        <v>43658</v>
      </c>
      <c r="E93" s="52">
        <f>E86</f>
        <v>38542</v>
      </c>
      <c r="F93" s="52">
        <f>F86</f>
        <v>27970</v>
      </c>
      <c r="G93" s="52">
        <f>G86</f>
        <v>20722</v>
      </c>
      <c r="H93" s="2"/>
      <c r="I93" s="2"/>
    </row>
    <row r="94" spans="1:9">
      <c r="A94" s="2"/>
      <c r="B94" s="47" t="s">
        <v>106</v>
      </c>
      <c r="C94" s="53">
        <f>(C91-C92)/C93</f>
        <v>1.0468415080065565</v>
      </c>
      <c r="D94" s="53">
        <f>(D91-D92)/D93</f>
        <v>1.6382335425351597</v>
      </c>
      <c r="E94" s="53">
        <f>(E91-E92)/E93</f>
        <v>1.4753256188054589</v>
      </c>
      <c r="F94" s="53">
        <f>(F91-F92)/F93</f>
        <v>1.5806936002860208</v>
      </c>
      <c r="G94" s="53">
        <f>(G91-G92)/G93</f>
        <v>1.9605733037351607</v>
      </c>
      <c r="H94" s="2"/>
      <c r="I94" s="2"/>
    </row>
    <row r="95" spans="1:9">
      <c r="A95" s="2"/>
      <c r="B95" s="50"/>
      <c r="C95" s="2"/>
      <c r="D95" s="2"/>
      <c r="E95" s="2"/>
      <c r="F95" s="2"/>
      <c r="G95" s="2"/>
      <c r="H95" s="2"/>
      <c r="I95" s="2"/>
    </row>
    <row r="96" spans="1:9">
      <c r="A96" s="8">
        <v>10.3</v>
      </c>
      <c r="B96" s="35" t="s">
        <v>107</v>
      </c>
      <c r="C96" s="2"/>
      <c r="D96" s="2"/>
      <c r="E96" s="2"/>
      <c r="F96" s="2"/>
      <c r="G96" s="2"/>
      <c r="H96" s="2"/>
      <c r="I96" s="2"/>
    </row>
    <row r="97" spans="1:9">
      <c r="A97" s="2"/>
      <c r="B97" s="24" t="s">
        <v>28</v>
      </c>
      <c r="C97" s="24">
        <v>2014</v>
      </c>
      <c r="D97" s="24">
        <v>2013</v>
      </c>
      <c r="E97" s="24">
        <v>2012</v>
      </c>
      <c r="F97" s="24">
        <v>2011</v>
      </c>
      <c r="G97" s="24">
        <v>2010</v>
      </c>
      <c r="H97" s="2"/>
      <c r="I97" s="2"/>
    </row>
    <row r="98" spans="1:9">
      <c r="A98" s="2"/>
      <c r="B98" s="24" t="s">
        <v>108</v>
      </c>
      <c r="C98" s="25">
        <f>C63</f>
        <v>52503</v>
      </c>
      <c r="D98" s="25">
        <f>D63</f>
        <v>48999</v>
      </c>
      <c r="E98" s="25">
        <f>E63</f>
        <v>55241</v>
      </c>
      <c r="F98" s="25">
        <f>F63</f>
        <v>33790</v>
      </c>
      <c r="G98" s="25">
        <f>G63</f>
        <v>18385</v>
      </c>
      <c r="H98" s="2"/>
      <c r="I98" s="2"/>
    </row>
    <row r="99" spans="1:9" ht="24">
      <c r="A99" s="2"/>
      <c r="B99" s="24" t="s">
        <v>109</v>
      </c>
      <c r="C99" s="54">
        <f>C6</f>
        <v>384</v>
      </c>
      <c r="D99" s="54">
        <f>D6</f>
        <v>136</v>
      </c>
      <c r="E99" s="54">
        <f>E6</f>
        <v>247</v>
      </c>
      <c r="F99" s="54">
        <f>F6</f>
        <v>225</v>
      </c>
      <c r="G99" s="54">
        <f>G6</f>
        <v>120</v>
      </c>
      <c r="H99" s="2"/>
      <c r="I99" s="2"/>
    </row>
    <row r="100" spans="1:9" ht="25">
      <c r="A100" s="2"/>
      <c r="B100" s="47" t="s">
        <v>110</v>
      </c>
      <c r="C100" s="55">
        <f>C98/C6</f>
        <v>136.7265625</v>
      </c>
      <c r="D100" s="55">
        <f>D98/D6</f>
        <v>360.28676470588238</v>
      </c>
      <c r="E100" s="55">
        <f>E98/E6</f>
        <v>223.64777327935224</v>
      </c>
      <c r="F100" s="55">
        <f>F98/F6</f>
        <v>150.17777777777778</v>
      </c>
      <c r="G100" s="55">
        <f>G98/G6</f>
        <v>153.20833333333334</v>
      </c>
      <c r="H100" s="2"/>
      <c r="I100" s="2"/>
    </row>
    <row r="101" spans="1:9">
      <c r="A101" s="2"/>
      <c r="B101" s="50"/>
      <c r="C101" s="2"/>
      <c r="D101" s="2"/>
      <c r="E101" s="2"/>
      <c r="F101" s="2"/>
      <c r="G101" s="2"/>
      <c r="H101" s="2"/>
      <c r="I101" s="2"/>
    </row>
    <row r="102" spans="1:9">
      <c r="A102" s="8">
        <v>10.4</v>
      </c>
      <c r="B102" s="35" t="s">
        <v>111</v>
      </c>
      <c r="C102" s="2"/>
      <c r="D102" s="2"/>
      <c r="E102" s="2"/>
      <c r="F102" s="2"/>
      <c r="G102" s="2"/>
      <c r="H102" s="2"/>
      <c r="I102" s="2"/>
    </row>
    <row r="103" spans="1:9">
      <c r="A103" s="2"/>
      <c r="B103" s="24" t="s">
        <v>28</v>
      </c>
      <c r="C103" s="24">
        <v>2014</v>
      </c>
      <c r="D103" s="24">
        <v>2013</v>
      </c>
      <c r="E103" s="24">
        <v>2012</v>
      </c>
      <c r="F103" s="24">
        <v>2011</v>
      </c>
      <c r="G103" s="24">
        <v>2010</v>
      </c>
      <c r="H103" s="2"/>
      <c r="I103" s="2"/>
    </row>
    <row r="104" spans="1:9">
      <c r="A104" s="2"/>
      <c r="B104" s="24" t="s">
        <v>83</v>
      </c>
      <c r="C104" s="25">
        <f>C41</f>
        <v>7047</v>
      </c>
      <c r="D104" s="25">
        <f>D41</f>
        <v>6478</v>
      </c>
      <c r="E104" s="25">
        <f>E41</f>
        <v>-299</v>
      </c>
      <c r="F104" s="25">
        <f>F41</f>
        <v>5757</v>
      </c>
      <c r="G104" s="25">
        <f>G41</f>
        <v>1212</v>
      </c>
      <c r="H104" s="2"/>
      <c r="I104" s="2"/>
    </row>
    <row r="105" spans="1:9" ht="24">
      <c r="A105" s="2"/>
      <c r="B105" s="24" t="s">
        <v>102</v>
      </c>
      <c r="C105" s="25">
        <f>C93</f>
        <v>63448</v>
      </c>
      <c r="D105" s="25">
        <f>D93</f>
        <v>43658</v>
      </c>
      <c r="E105" s="25">
        <f>E93</f>
        <v>38542</v>
      </c>
      <c r="F105" s="25">
        <f>F93</f>
        <v>27970</v>
      </c>
      <c r="G105" s="25">
        <f>G93</f>
        <v>20722</v>
      </c>
      <c r="H105" s="2"/>
      <c r="I105" s="2"/>
    </row>
    <row r="106" spans="1:9">
      <c r="A106" s="2"/>
      <c r="B106" s="47" t="s">
        <v>112</v>
      </c>
      <c r="C106" s="53">
        <f>C104/C105</f>
        <v>0.11106733072752491</v>
      </c>
      <c r="D106" s="53">
        <f>D104/D105</f>
        <v>0.14838059462183334</v>
      </c>
      <c r="E106" s="53">
        <f>E104/E105</f>
        <v>-7.7577707436043792E-3</v>
      </c>
      <c r="F106" s="53">
        <f>F104/F105</f>
        <v>0.20582767250625669</v>
      </c>
      <c r="G106" s="53">
        <f>G104/G105</f>
        <v>5.8488562880030882E-2</v>
      </c>
      <c r="H106" s="2"/>
      <c r="I106" s="2"/>
    </row>
    <row r="107" spans="1:9">
      <c r="A107" s="2"/>
      <c r="B107" s="50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8">
        <v>11</v>
      </c>
      <c r="B109" s="8" t="s">
        <v>113</v>
      </c>
      <c r="C109" s="2"/>
      <c r="D109" s="2"/>
      <c r="E109" s="2"/>
      <c r="F109" s="2"/>
      <c r="G109" s="2"/>
      <c r="H109" s="2"/>
      <c r="I109" s="2"/>
    </row>
    <row r="110" spans="1:9">
      <c r="A110" s="8">
        <v>11.1</v>
      </c>
      <c r="B110" s="56" t="s">
        <v>114</v>
      </c>
      <c r="C110" s="2"/>
      <c r="D110" s="2"/>
      <c r="E110" s="2"/>
      <c r="F110" s="2"/>
      <c r="G110" s="2"/>
      <c r="H110" s="2"/>
      <c r="I110" s="2"/>
    </row>
    <row r="111" spans="1:9">
      <c r="A111" s="2"/>
      <c r="B111" s="24" t="s">
        <v>28</v>
      </c>
      <c r="C111" s="24">
        <v>2014</v>
      </c>
      <c r="D111" s="24">
        <v>2013</v>
      </c>
      <c r="E111" s="24">
        <v>2012</v>
      </c>
      <c r="F111" s="24">
        <v>2011</v>
      </c>
      <c r="G111" s="24">
        <v>2010</v>
      </c>
      <c r="H111" s="2"/>
      <c r="I111" s="2"/>
    </row>
    <row r="112" spans="1:9" ht="24">
      <c r="A112" s="2"/>
      <c r="B112" s="24" t="s">
        <v>68</v>
      </c>
      <c r="C112" s="51">
        <f>C7</f>
        <v>24826</v>
      </c>
      <c r="D112" s="51">
        <f>D7</f>
        <v>20208</v>
      </c>
      <c r="E112" s="51">
        <f>E7</f>
        <v>16664</v>
      </c>
      <c r="F112" s="51">
        <f>F7</f>
        <v>10100</v>
      </c>
      <c r="G112" s="51">
        <f>G7</f>
        <v>5531</v>
      </c>
      <c r="H112" s="2"/>
      <c r="I112" s="2"/>
    </row>
    <row r="113" spans="1:9">
      <c r="A113" s="2"/>
      <c r="B113" s="24" t="s">
        <v>51</v>
      </c>
      <c r="C113" s="51">
        <v>231839</v>
      </c>
      <c r="D113" s="51">
        <v>207000</v>
      </c>
      <c r="E113" s="51">
        <v>176064</v>
      </c>
      <c r="F113" s="51">
        <v>116371</v>
      </c>
      <c r="G113" s="51">
        <v>75183</v>
      </c>
      <c r="H113" s="2"/>
      <c r="I113" s="2"/>
    </row>
    <row r="114" spans="1:9" ht="25">
      <c r="A114" s="2"/>
      <c r="B114" s="47" t="s">
        <v>115</v>
      </c>
      <c r="C114" s="53">
        <f>C112/C113</f>
        <v>0.10708293255233158</v>
      </c>
      <c r="D114" s="53">
        <f>D112/D113</f>
        <v>9.7623188405797104E-2</v>
      </c>
      <c r="E114" s="53">
        <f>E112/E113</f>
        <v>9.4647400945110871E-2</v>
      </c>
      <c r="F114" s="53">
        <f>F112/F113</f>
        <v>8.6791382732811437E-2</v>
      </c>
      <c r="G114" s="53">
        <f>G112/G113</f>
        <v>7.3567162789460377E-2</v>
      </c>
      <c r="H114" s="2"/>
      <c r="I114" s="2"/>
    </row>
    <row r="115" spans="1:9">
      <c r="A115" s="2"/>
      <c r="B115" s="50"/>
      <c r="C115" s="2"/>
      <c r="D115" s="2"/>
      <c r="E115" s="2"/>
      <c r="F115" s="2"/>
      <c r="G115" s="2"/>
      <c r="H115" s="2"/>
      <c r="I115" s="2"/>
    </row>
    <row r="116" spans="1:9">
      <c r="A116" s="8">
        <v>11.2</v>
      </c>
      <c r="B116" s="35" t="s">
        <v>116</v>
      </c>
      <c r="C116" s="2"/>
      <c r="D116" s="2"/>
      <c r="E116" s="2"/>
      <c r="F116" s="2"/>
      <c r="G116" s="2"/>
      <c r="H116" s="2"/>
      <c r="I116" s="2"/>
    </row>
    <row r="117" spans="1:9">
      <c r="A117" s="2"/>
      <c r="B117" s="24" t="s">
        <v>28</v>
      </c>
      <c r="C117" s="24">
        <v>2014</v>
      </c>
      <c r="D117" s="24">
        <v>2013</v>
      </c>
      <c r="E117" s="24">
        <v>2012</v>
      </c>
      <c r="F117" s="24">
        <v>2011</v>
      </c>
      <c r="G117" s="24">
        <v>2010</v>
      </c>
      <c r="H117" s="2"/>
      <c r="I117" s="2"/>
    </row>
    <row r="118" spans="1:9" ht="24">
      <c r="A118" s="2"/>
      <c r="B118" s="24" t="s">
        <v>68</v>
      </c>
      <c r="C118" s="51">
        <f>C112</f>
        <v>24826</v>
      </c>
      <c r="D118" s="51">
        <f>D112</f>
        <v>20208</v>
      </c>
      <c r="E118" s="51">
        <f>E112</f>
        <v>16664</v>
      </c>
      <c r="F118" s="51">
        <f>F112</f>
        <v>10100</v>
      </c>
      <c r="G118" s="51">
        <f>G112</f>
        <v>5531</v>
      </c>
      <c r="H118" s="2"/>
      <c r="I118" s="2"/>
    </row>
    <row r="119" spans="1:9">
      <c r="A119" s="2"/>
      <c r="B119" s="24" t="s">
        <v>56</v>
      </c>
      <c r="C119" s="51">
        <f>C8</f>
        <v>111547</v>
      </c>
      <c r="D119" s="51">
        <f>D8</f>
        <v>123549</v>
      </c>
      <c r="E119" s="51">
        <f>E8</f>
        <v>118210</v>
      </c>
      <c r="F119" s="51">
        <f>F8</f>
        <v>76615</v>
      </c>
      <c r="G119" s="51">
        <f>G8</f>
        <v>47791</v>
      </c>
      <c r="H119" s="2"/>
      <c r="I119" s="2"/>
    </row>
    <row r="120" spans="1:9" ht="25">
      <c r="A120" s="2"/>
      <c r="B120" s="47" t="s">
        <v>117</v>
      </c>
      <c r="C120" s="53">
        <f>C118/C119</f>
        <v>0.22256089361435091</v>
      </c>
      <c r="D120" s="53">
        <f>D118/D119</f>
        <v>0.16356263506786781</v>
      </c>
      <c r="E120" s="53">
        <f>E118/E119</f>
        <v>0.14096946112850012</v>
      </c>
      <c r="F120" s="53">
        <f>F118/F119</f>
        <v>0.13182797102395091</v>
      </c>
      <c r="G120" s="53">
        <f>G118/G119</f>
        <v>0.11573308781988241</v>
      </c>
      <c r="H120" s="2"/>
      <c r="I120" s="2"/>
    </row>
    <row r="121" spans="1:9">
      <c r="A121" s="2"/>
      <c r="B121" s="50"/>
      <c r="C121" s="2"/>
      <c r="D121" s="2"/>
      <c r="E121" s="2"/>
      <c r="F121" s="2"/>
      <c r="G121" s="2"/>
      <c r="H121" s="2"/>
      <c r="I121" s="2"/>
    </row>
    <row r="122" spans="1:9">
      <c r="A122" s="8">
        <v>11.3</v>
      </c>
      <c r="B122" s="85" t="s">
        <v>118</v>
      </c>
      <c r="C122" s="85"/>
      <c r="D122" s="85"/>
      <c r="E122" s="85"/>
      <c r="F122" s="85"/>
      <c r="G122" s="85"/>
      <c r="H122" s="2"/>
      <c r="I122" s="2"/>
    </row>
    <row r="123" spans="1:9">
      <c r="A123" s="8"/>
      <c r="B123" s="35"/>
      <c r="C123" s="2"/>
      <c r="D123" s="2"/>
      <c r="E123" s="2"/>
      <c r="F123" s="2"/>
      <c r="G123" s="2"/>
      <c r="H123" s="2"/>
      <c r="I123" s="2"/>
    </row>
    <row r="124" spans="1:9">
      <c r="A124" s="2"/>
      <c r="B124" s="24" t="s">
        <v>28</v>
      </c>
      <c r="C124" s="24">
        <v>2014</v>
      </c>
      <c r="D124" s="24">
        <v>2013</v>
      </c>
      <c r="E124" s="24">
        <v>2012</v>
      </c>
      <c r="F124" s="24">
        <v>2011</v>
      </c>
      <c r="G124" s="24">
        <v>2010</v>
      </c>
      <c r="H124" s="2"/>
      <c r="I124" s="2"/>
    </row>
    <row r="125" spans="1:9" ht="24">
      <c r="A125" s="2"/>
      <c r="B125" s="24" t="s">
        <v>68</v>
      </c>
      <c r="C125" s="51">
        <f>C118</f>
        <v>24826</v>
      </c>
      <c r="D125" s="51">
        <f>D118</f>
        <v>20208</v>
      </c>
      <c r="E125" s="51">
        <f>E118</f>
        <v>16664</v>
      </c>
      <c r="F125" s="51">
        <f>F118</f>
        <v>10100</v>
      </c>
      <c r="G125" s="51">
        <f>G118</f>
        <v>5531</v>
      </c>
      <c r="H125" s="2"/>
      <c r="I125" s="2"/>
    </row>
    <row r="126" spans="1:9">
      <c r="A126" s="2"/>
      <c r="B126" s="24" t="s">
        <v>83</v>
      </c>
      <c r="C126" s="51">
        <f>C41</f>
        <v>7047</v>
      </c>
      <c r="D126" s="51">
        <f>D41</f>
        <v>6478</v>
      </c>
      <c r="E126" s="51">
        <f>E41</f>
        <v>-299</v>
      </c>
      <c r="F126" s="51">
        <f>F41</f>
        <v>5757</v>
      </c>
      <c r="G126" s="51">
        <f>G41</f>
        <v>1212</v>
      </c>
      <c r="H126" s="2"/>
      <c r="I126" s="2"/>
    </row>
    <row r="127" spans="1:9" ht="25">
      <c r="A127" s="2"/>
      <c r="B127" s="47" t="s">
        <v>119</v>
      </c>
      <c r="C127" s="55">
        <f>C125/C126</f>
        <v>3.5229175535688944</v>
      </c>
      <c r="D127" s="55">
        <f>D125/D126</f>
        <v>3.1194813213954924</v>
      </c>
      <c r="E127" s="55">
        <f>E125/E126</f>
        <v>-55.732441471571903</v>
      </c>
      <c r="F127" s="55">
        <f>F125/F126</f>
        <v>1.7543859649122806</v>
      </c>
      <c r="G127" s="55">
        <f>G125/G126</f>
        <v>4.5635313531353132</v>
      </c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8">
        <v>12</v>
      </c>
      <c r="B130" s="8" t="s">
        <v>120</v>
      </c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4" t="s">
        <v>28</v>
      </c>
      <c r="C132" s="24">
        <v>2014</v>
      </c>
      <c r="D132" s="24">
        <v>2013</v>
      </c>
      <c r="E132" s="24">
        <v>2012</v>
      </c>
      <c r="F132" s="24">
        <v>2011</v>
      </c>
      <c r="G132" s="24">
        <v>2010</v>
      </c>
      <c r="H132" s="2"/>
      <c r="I132" s="2"/>
    </row>
    <row r="133" spans="1:9" ht="24">
      <c r="A133" s="2"/>
      <c r="B133" s="24" t="s">
        <v>121</v>
      </c>
      <c r="C133" s="7">
        <v>87152</v>
      </c>
      <c r="D133" s="7">
        <v>104256</v>
      </c>
      <c r="E133" s="7">
        <v>101289</v>
      </c>
      <c r="F133" s="7">
        <v>62841</v>
      </c>
      <c r="G133" s="7">
        <v>37169</v>
      </c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">
      <c r="A135" s="2"/>
      <c r="B135" s="24" t="s">
        <v>73</v>
      </c>
      <c r="C135" s="24" t="s">
        <v>74</v>
      </c>
      <c r="D135" s="24" t="s">
        <v>75</v>
      </c>
      <c r="E135" s="24" t="s">
        <v>76</v>
      </c>
      <c r="F135" s="2"/>
      <c r="G135" s="2"/>
      <c r="H135" s="2"/>
      <c r="I135" s="2"/>
    </row>
    <row r="136" spans="1:9">
      <c r="A136" s="2"/>
      <c r="B136" s="33">
        <f>IF(AND(C133&gt;=0,$G$133&gt;0),((C133/$G$133)^(0.25)-1),IF(AND(C133&lt;=0,$G$133&lt;0,C133&lt;$G$133),-((C133/$G$133)^(0.25)-1),IF(AND(C133&lt;=0,$G$133&lt;0,C133&gt;=$G$133),(($G$133/C133)^(0.25)-1),IF(AND(C133&gt;=0,$G$133&lt;0),(((C133+ABS($G$133))/ABS($G$133))^(0.25)-1),IF(AND(C133&lt;0,$G133&gt;0),(-(((ABS(C133)+$G$133/ABS(C133))^0.25)-1)))))))</f>
        <v>0.23743991411041065</v>
      </c>
      <c r="C136" s="33">
        <f>IF(AND(D133&gt;=0,$G$133&gt;0),((D133/$G$133)^(0.333)-1),IF(AND(D133&lt;=0,$G$133&lt;0,D133&lt;$G$133),-((D133/$G$133)^(0.333)-1),IF(AND(D133&lt;=0,$G$133&lt;0,D133&gt;=$G$133),(($G$133/D133)^(0.333)-1),IF(AND(D133&gt;=0,$G$133&lt;0),(((D133+ABS($G$133))/ABS($G$133))^(0.333)-1),IF(AND(D133&lt;0,$G$133&gt;0),(-(((ABS(D133)+$G$133/ABS(D133))^0.333)-1)))))))</f>
        <v>0.40979972135009368</v>
      </c>
      <c r="D136" s="33">
        <f>IF(AND(E133&gt;=0,$G$133&gt;0),((E133/$G$133)^(0.5)-1),IF(AND(E133&lt;=0,$G$133&lt;0,E133&lt;$G$133),-((E133/$G$133)^(0.5)-1),IF(AND(E133&lt;=0,$G$133&lt;0,E133&gt;=$G$133),(($G$133/E133)^(0.5)-1),IF(AND(E133&gt;=0,$G$133&lt;0),(((E133+ABS($G$133))/ABS($G$133))^(0.5)-1),IF(AND(E133&lt;0,$G$133&gt;0),(-(((ABS(E133)+$G$133/ABS(E133))^0.5)-1)))))))</f>
        <v>0.65078571955550957</v>
      </c>
      <c r="E136" s="33">
        <f>IF(AND(F133&gt;=0,$G$133&gt;0),((F133/$G$133)^(1)-1),IF(AND(F133&lt;=0,$G$133&lt;0,F133&lt;$G$133),-((F133/$G$133)^(1)-1),IF(AND(F133&lt;=0,$G$133&lt;0,F133&gt;=$G$133),(($G$133/F133)^(1)-1),IF(AND(F133&gt;=0,$G$133&lt;0),(((F133+ABS($G$133))/ABS($G$133))^(1)-1),IF(AND(F133&lt;0,$G$133&gt;0),(-(((ABS(F133)+$G$133/ABS(F133))^1)-1)))))))</f>
        <v>0.69068309612849421</v>
      </c>
      <c r="F136" s="8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8">
        <v>13</v>
      </c>
      <c r="B139" s="8" t="s">
        <v>122</v>
      </c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4" t="s">
        <v>28</v>
      </c>
      <c r="C141" s="24">
        <v>2014</v>
      </c>
      <c r="D141" s="24">
        <v>2013</v>
      </c>
      <c r="E141" s="24">
        <v>2012</v>
      </c>
      <c r="F141" s="24">
        <v>2011</v>
      </c>
      <c r="G141" s="24">
        <v>2010</v>
      </c>
      <c r="H141" s="2"/>
      <c r="I141" s="2"/>
    </row>
    <row r="142" spans="1:9">
      <c r="A142" s="2"/>
      <c r="B142" s="24" t="s">
        <v>84</v>
      </c>
      <c r="C142" s="7">
        <v>9571</v>
      </c>
      <c r="D142" s="7">
        <v>8165</v>
      </c>
      <c r="E142" s="7">
        <v>8295</v>
      </c>
      <c r="F142" s="7">
        <v>4260</v>
      </c>
      <c r="G142" s="7">
        <v>2005</v>
      </c>
      <c r="H142" s="2"/>
      <c r="I142" s="2"/>
    </row>
    <row r="143" spans="1:9" ht="36">
      <c r="A143" s="2"/>
      <c r="B143" s="24" t="s">
        <v>123</v>
      </c>
      <c r="C143" s="7">
        <v>23313</v>
      </c>
      <c r="D143" s="7">
        <v>19764</v>
      </c>
      <c r="E143" s="7">
        <v>16422</v>
      </c>
      <c r="F143" s="7">
        <v>13331</v>
      </c>
      <c r="G143" s="7">
        <v>10668</v>
      </c>
      <c r="H143" s="2"/>
      <c r="I143" s="2"/>
    </row>
    <row r="144" spans="1:9" ht="24">
      <c r="A144" s="2"/>
      <c r="B144" s="24" t="s">
        <v>124</v>
      </c>
      <c r="C144" s="7">
        <f>C142/C143</f>
        <v>0.41054347359842147</v>
      </c>
      <c r="D144" s="7">
        <f>D142/D143</f>
        <v>0.41312487350738719</v>
      </c>
      <c r="E144" s="7">
        <f>E142/E143</f>
        <v>0.50511508951406647</v>
      </c>
      <c r="F144" s="7">
        <f>F142/F143</f>
        <v>0.31955592228640012</v>
      </c>
      <c r="G144" s="7">
        <f>G142/G143</f>
        <v>0.18794525684289465</v>
      </c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">
      <c r="A146" s="2"/>
      <c r="B146" s="24" t="s">
        <v>73</v>
      </c>
      <c r="C146" s="24" t="s">
        <v>74</v>
      </c>
      <c r="D146" s="24" t="s">
        <v>75</v>
      </c>
      <c r="E146" s="24" t="s">
        <v>76</v>
      </c>
      <c r="F146" s="2"/>
      <c r="G146" s="2"/>
      <c r="H146" s="2"/>
      <c r="I146" s="2"/>
    </row>
    <row r="147" spans="1:9">
      <c r="A147" s="2"/>
      <c r="B147" s="33">
        <f>IF(AND(C144&gt;=0,$G$144&gt;0),((C144/$G$144)^(0.25)-1),IF(AND(C144&lt;=0,$G$144&lt;0,C144&lt;$G$144),-((C144/$G$144)^(0.25)-1),IF(AND(C144&lt;=0,$G$144&lt;0,C144&gt;=$G$144),(($G$144/C144)^(0.25)-1),IF(AND(C144&gt;=0,$G$144&lt;0),(((C144+ABS($G$144))/ABS($G$144))^(0.25)-1),IF(AND(C144&lt;0,$G144&gt;0),(-(((ABS(C144)+$G$144/ABS(C144))^0.25)-1)))))))</f>
        <v>0.21571547704189986</v>
      </c>
      <c r="C147" s="33">
        <f>IF(AND(D144&gt;=0,$G$144&gt;0),((D144/$G$144)^(0.333)-1),IF(AND(D144&lt;=0,$G$144&lt;0,D144&lt;$G$144),-((D144/$G$144)^(0.333)-1),IF(AND(D144&lt;=0,$G$144&lt;0,D144&gt;=$G$144),(($G$144/D144)^(0.333)-1),IF(AND(D144&gt;=0,$G$144&lt;0),(((D144+ABS($G$144))/ABS($G$144))^(0.333)-1),IF(AND(D144&lt;0,$G$144&gt;0),(-(((ABS(D144)+$G$144/ABS(D144))^0.333)-1)))))))</f>
        <v>0.29987814302978832</v>
      </c>
      <c r="D147" s="33">
        <f>IF(AND(E144&gt;=0,$G$144&gt;0),((E144/$G$144)^(0.5)-1),IF(AND(E144&lt;=0,$G$144&lt;0,E144&lt;$G$144),-((E144/$G$144)^(0.5)-1),IF(AND(E144&lt;=0,$G$144&lt;0,E144&gt;=$G$144),(($G$144/E144)^(0.5)-1),IF(AND(E144&gt;=0,$G$144&lt;0),(((E144+ABS($G$144))/ABS($G$144))^(0.5)-1),IF(AND(E144&lt;0,$G$144&gt;0),(-(((ABS(E144)+$G$144/ABS(E144))^0.5)-1)))))))</f>
        <v>0.63937944815422587</v>
      </c>
      <c r="E147" s="33">
        <f>IF(AND(F144&gt;=0,$G$144&gt;0),((F144/$G$144)^(1)-1),IF(AND(F144&lt;=0,$G$144&lt;0,F144&lt;$G$144),-((F144/$G$144)^(1)-1),IF(AND(F144&lt;=0,$G$144&lt;0,F144&gt;=$G$144),(($G$144/F144)^(1)-1),IF(AND(F144&gt;=0,$G$144&lt;0),(((F144+ABS($G$144))/ABS($G$144))^(1)-1),IF(AND(F144&lt;0,$G$144&gt;0),(-(((ABS(F144)+$G$144/ABS(F144))^1)-1)))))))</f>
        <v>0.70026063788095572</v>
      </c>
      <c r="F147" s="8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</sheetData>
  <mergeCells count="5">
    <mergeCell ref="B53:G53"/>
    <mergeCell ref="B60:G60"/>
    <mergeCell ref="B67:G67"/>
    <mergeCell ref="B74:G74"/>
    <mergeCell ref="B122:G1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34" workbookViewId="0">
      <selection sqref="A1:O48"/>
    </sheetView>
  </sheetViews>
  <sheetFormatPr baseColWidth="10" defaultRowHeight="15" x14ac:dyDescent="0"/>
  <sheetData>
    <row r="1" spans="1:15">
      <c r="A1" s="89" t="s">
        <v>125</v>
      </c>
      <c r="B1" s="89"/>
      <c r="C1" s="89"/>
      <c r="D1" s="89"/>
      <c r="E1" s="89"/>
      <c r="F1" s="89"/>
      <c r="G1" s="89"/>
      <c r="H1" s="90"/>
      <c r="I1" s="90"/>
      <c r="J1" s="90"/>
      <c r="K1" s="90"/>
      <c r="L1" s="90"/>
      <c r="M1" s="90"/>
      <c r="N1" s="2"/>
      <c r="O1" s="2"/>
    </row>
    <row r="2" spans="1:15">
      <c r="A2" s="8" t="s">
        <v>126</v>
      </c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2"/>
      <c r="N2" s="2"/>
      <c r="O2" s="2"/>
    </row>
    <row r="3" spans="1:15">
      <c r="A3" s="8" t="s">
        <v>127</v>
      </c>
      <c r="B3" s="8"/>
      <c r="C3" s="8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</row>
    <row r="4" spans="1:15">
      <c r="A4" s="8"/>
      <c r="B4" s="8" t="s">
        <v>128</v>
      </c>
      <c r="C4" s="8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</row>
    <row r="5" spans="1:15">
      <c r="A5" s="8"/>
      <c r="B5" s="7" t="s">
        <v>28</v>
      </c>
      <c r="C5" s="32" t="s">
        <v>129</v>
      </c>
      <c r="D5" s="32" t="s">
        <v>130</v>
      </c>
      <c r="E5" s="32" t="s">
        <v>131</v>
      </c>
      <c r="F5" s="32" t="s">
        <v>132</v>
      </c>
      <c r="G5" s="32" t="s">
        <v>133</v>
      </c>
      <c r="H5" s="32" t="s">
        <v>134</v>
      </c>
      <c r="I5" s="32" t="s">
        <v>135</v>
      </c>
      <c r="J5" s="32" t="s">
        <v>136</v>
      </c>
      <c r="K5" s="32" t="s">
        <v>137</v>
      </c>
      <c r="L5" s="32" t="s">
        <v>138</v>
      </c>
      <c r="M5" s="32" t="s">
        <v>139</v>
      </c>
      <c r="N5" s="2"/>
      <c r="O5" s="2"/>
    </row>
    <row r="6" spans="1:15">
      <c r="A6" s="8"/>
      <c r="B6" s="32" t="s">
        <v>140</v>
      </c>
      <c r="C6" s="57">
        <v>31.17</v>
      </c>
      <c r="D6" s="7">
        <v>31.17</v>
      </c>
      <c r="E6" s="7">
        <v>28.007333333333918</v>
      </c>
      <c r="F6" s="7">
        <v>33.508888888889487</v>
      </c>
      <c r="G6" s="7">
        <v>38.676681481481864</v>
      </c>
      <c r="H6" s="7">
        <v>43.495224691358089</v>
      </c>
      <c r="I6" s="7" t="e">
        <v>#REF!</v>
      </c>
      <c r="J6" s="7" t="e">
        <v>#REF!</v>
      </c>
      <c r="K6" s="7" t="e">
        <v>#REF!</v>
      </c>
      <c r="L6" s="7" t="e">
        <v>#REF!</v>
      </c>
      <c r="M6" s="7" t="e">
        <v>#REF!</v>
      </c>
      <c r="N6" s="2"/>
      <c r="O6" s="2"/>
    </row>
    <row r="7" spans="1:15" ht="25">
      <c r="A7" s="8"/>
      <c r="B7" s="47" t="s">
        <v>141</v>
      </c>
      <c r="C7" s="53" t="e">
        <f>AVERAGE(C6:M6)</f>
        <v>#REF!</v>
      </c>
      <c r="D7" s="8" t="s">
        <v>142</v>
      </c>
      <c r="E7" s="8"/>
      <c r="F7" s="8"/>
      <c r="G7" s="8"/>
      <c r="H7" s="2"/>
      <c r="I7" s="2"/>
      <c r="J7" s="2"/>
      <c r="K7" s="2"/>
      <c r="L7" s="2"/>
      <c r="M7" s="2"/>
      <c r="N7" s="2"/>
      <c r="O7" s="2"/>
    </row>
    <row r="8" spans="1:15">
      <c r="A8" s="8"/>
      <c r="B8" s="8"/>
      <c r="C8" s="8"/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</row>
    <row r="9" spans="1:15" ht="49">
      <c r="A9" s="8"/>
      <c r="B9" s="47" t="s">
        <v>143</v>
      </c>
      <c r="C9" s="32">
        <v>9.5299999999999996E-2</v>
      </c>
      <c r="D9" s="2" t="s">
        <v>144</v>
      </c>
      <c r="E9" s="8"/>
      <c r="F9" s="8"/>
      <c r="G9" s="8"/>
      <c r="H9" s="2"/>
      <c r="I9" s="2"/>
      <c r="J9" s="2"/>
      <c r="K9" s="2"/>
      <c r="L9" s="2"/>
      <c r="M9" s="2"/>
      <c r="N9" s="2"/>
      <c r="O9" s="2"/>
    </row>
    <row r="10" spans="1:15">
      <c r="A10" s="8"/>
      <c r="B10" s="58"/>
      <c r="C10" s="59"/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</row>
    <row r="11" spans="1:15" ht="25">
      <c r="A11" s="8"/>
      <c r="B11" s="47" t="s">
        <v>145</v>
      </c>
      <c r="C11" s="53">
        <v>12.56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</row>
    <row r="12" spans="1:15">
      <c r="A12" s="8"/>
      <c r="B12" s="8"/>
      <c r="C12" s="8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</row>
    <row r="13" spans="1:15">
      <c r="A13" s="8"/>
      <c r="B13" s="32" t="s">
        <v>146</v>
      </c>
      <c r="C13" s="32">
        <v>0.15</v>
      </c>
      <c r="D13" s="2" t="s">
        <v>147</v>
      </c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</row>
    <row r="14" spans="1:15">
      <c r="A14" s="8"/>
      <c r="B14" s="8"/>
      <c r="C14" s="8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</row>
    <row r="15" spans="1:15" ht="25">
      <c r="A15" s="8"/>
      <c r="B15" s="47" t="s">
        <v>148</v>
      </c>
      <c r="C15" s="32">
        <v>72.819999999999993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</row>
    <row r="16" spans="1:15">
      <c r="A16" s="8"/>
      <c r="B16" s="8"/>
      <c r="C16" s="8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</row>
    <row r="17" spans="1:15">
      <c r="A17" s="8" t="s">
        <v>149</v>
      </c>
      <c r="B17" s="32" t="s">
        <v>150</v>
      </c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7">
      <c r="A18" s="2"/>
      <c r="B18" s="47" t="s">
        <v>151</v>
      </c>
      <c r="C18" s="19">
        <f>C11</f>
        <v>12.56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7">
      <c r="A19" s="2"/>
      <c r="B19" s="47" t="s">
        <v>152</v>
      </c>
      <c r="C19" s="19">
        <v>-3.0385971338021567E-2</v>
      </c>
      <c r="D19" s="2" t="s">
        <v>153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49">
      <c r="A20" s="8"/>
      <c r="B20" s="47" t="s">
        <v>154</v>
      </c>
      <c r="C20" s="19">
        <v>-8.162498713273203E-2</v>
      </c>
      <c r="D20" s="2" t="s">
        <v>155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49">
      <c r="A21" s="2"/>
      <c r="B21" s="47" t="s">
        <v>156</v>
      </c>
      <c r="C21" s="7">
        <f>C9</f>
        <v>9.5299999999999996E-2</v>
      </c>
      <c r="D21" s="2" t="s">
        <v>157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73">
      <c r="A22" s="2"/>
      <c r="B22" s="47" t="s">
        <v>158</v>
      </c>
      <c r="C22" s="19">
        <f>MIN(C19:C21)</f>
        <v>-8.162498713273203E-2</v>
      </c>
      <c r="D22" s="2" t="s">
        <v>159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>
      <c r="A23" s="2"/>
      <c r="B23" s="32"/>
      <c r="C23" s="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49">
      <c r="A24" s="2"/>
      <c r="B24" s="47" t="s">
        <v>160</v>
      </c>
      <c r="C24" s="19" t="e">
        <f>C7</f>
        <v>#REF!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>
      <c r="A25" s="2"/>
      <c r="B25" s="7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49">
      <c r="A26" s="2"/>
      <c r="B26" s="47" t="s">
        <v>161</v>
      </c>
      <c r="C26" s="7">
        <f>C13</f>
        <v>0.15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>
      <c r="A27" s="2"/>
      <c r="B27" s="7"/>
      <c r="C27" s="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>
      <c r="A28" s="8" t="s">
        <v>162</v>
      </c>
      <c r="B28" s="32" t="s">
        <v>163</v>
      </c>
      <c r="C28" s="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7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62">
      <c r="A30" s="8"/>
      <c r="B30" s="60" t="s">
        <v>164</v>
      </c>
      <c r="C30" s="19">
        <f>+C18*(1+C22)^10</f>
        <v>5.360313974676699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>
      <c r="A31" s="2"/>
      <c r="B31" s="60"/>
      <c r="C31" s="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85">
      <c r="A32" s="2"/>
      <c r="B32" s="61" t="s">
        <v>165</v>
      </c>
      <c r="C32" s="54" t="e">
        <f>+C30*C24</f>
        <v>#REF!</v>
      </c>
      <c r="D32" s="91" t="s">
        <v>166</v>
      </c>
      <c r="E32" s="92"/>
      <c r="F32" s="92"/>
      <c r="G32" s="92"/>
      <c r="H32" s="92"/>
      <c r="I32" s="92"/>
      <c r="J32" s="2"/>
      <c r="K32" s="2"/>
      <c r="L32" s="2"/>
      <c r="M32" s="2"/>
      <c r="N32" s="2"/>
      <c r="O32" s="2"/>
    </row>
    <row r="33" spans="1:15">
      <c r="A33" s="2"/>
      <c r="B33" s="60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74">
      <c r="A34" s="2"/>
      <c r="B34" s="61" t="s">
        <v>167</v>
      </c>
      <c r="C34" s="19" t="e">
        <f>+C32*(1+C26)^-10</f>
        <v>#REF!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7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32" t="s">
        <v>168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7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25">
      <c r="A38" s="8" t="s">
        <v>169</v>
      </c>
      <c r="B38" s="60" t="s">
        <v>170</v>
      </c>
      <c r="C38" s="19">
        <f>C15</f>
        <v>72.819999999999993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60"/>
      <c r="C39" s="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37">
      <c r="A40" s="2"/>
      <c r="B40" s="60" t="s">
        <v>171</v>
      </c>
      <c r="C40" s="19" t="e">
        <f>+C38/C34</f>
        <v>#REF!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25">
      <c r="A41" s="2"/>
      <c r="B41" s="60" t="s">
        <v>172</v>
      </c>
      <c r="C41" s="62" t="e">
        <f>1-C40</f>
        <v>#REF!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7"/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8" t="s">
        <v>173</v>
      </c>
      <c r="B43" s="93" t="s">
        <v>174</v>
      </c>
      <c r="C43" s="94"/>
      <c r="D43" s="92"/>
      <c r="E43" s="92"/>
      <c r="F43" s="9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 t="s">
        <v>175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 t="s">
        <v>176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mergeCells count="3">
    <mergeCell ref="A1:M1"/>
    <mergeCell ref="D32:I32"/>
    <mergeCell ref="B43:F4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35" workbookViewId="0">
      <selection sqref="A1:S48"/>
    </sheetView>
  </sheetViews>
  <sheetFormatPr baseColWidth="10" defaultRowHeight="15" x14ac:dyDescent="0"/>
  <sheetData>
    <row r="1" spans="1:19">
      <c r="A1" s="8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8">
        <v>1</v>
      </c>
      <c r="B3" s="8" t="s">
        <v>178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>
      <c r="A4" s="2"/>
      <c r="B4" s="2" t="s">
        <v>179</v>
      </c>
      <c r="C4" s="63">
        <v>7047</v>
      </c>
      <c r="D4" s="2" t="s">
        <v>180</v>
      </c>
      <c r="E4" s="2"/>
      <c r="F4" s="63">
        <v>9571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>
      <c r="A5" s="2"/>
      <c r="B5" s="2" t="s">
        <v>181</v>
      </c>
      <c r="C5" s="2"/>
      <c r="D5" s="2"/>
      <c r="E5" s="2"/>
      <c r="F5" s="2"/>
      <c r="G5" s="2"/>
      <c r="H5" s="2"/>
      <c r="I5" s="2"/>
      <c r="J5" s="2"/>
      <c r="K5" s="64">
        <f>+C4-F4</f>
        <v>-2524</v>
      </c>
      <c r="L5" s="2"/>
      <c r="M5" s="2"/>
      <c r="N5" s="2"/>
      <c r="O5" s="2"/>
      <c r="P5" s="2"/>
      <c r="Q5" s="2"/>
      <c r="R5" s="2"/>
      <c r="S5" s="2"/>
    </row>
    <row r="6" spans="1:19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>
      <c r="A7" s="2"/>
      <c r="B7" s="2" t="s">
        <v>182</v>
      </c>
      <c r="C7" s="2"/>
      <c r="D7" s="2"/>
      <c r="E7" s="2"/>
      <c r="F7" s="2"/>
      <c r="G7" s="2"/>
      <c r="H7" s="2"/>
      <c r="I7" s="2"/>
      <c r="J7" s="2"/>
      <c r="K7" s="65">
        <v>-0.33568497547058707</v>
      </c>
      <c r="L7" s="2"/>
      <c r="M7" s="2"/>
      <c r="N7" s="2"/>
      <c r="O7" s="2"/>
      <c r="P7" s="2"/>
      <c r="Q7" s="2"/>
      <c r="R7" s="2"/>
      <c r="S7" s="2"/>
    </row>
    <row r="8" spans="1:19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>
      <c r="A9" s="2"/>
      <c r="B9" s="2" t="s">
        <v>183</v>
      </c>
      <c r="C9" s="2"/>
      <c r="D9" s="2"/>
      <c r="E9" s="2"/>
      <c r="F9" s="2"/>
      <c r="G9" s="2"/>
      <c r="H9" s="2"/>
      <c r="I9" s="2"/>
      <c r="J9" s="2"/>
      <c r="K9" s="66">
        <v>0.03</v>
      </c>
      <c r="L9" s="2"/>
      <c r="M9" s="2"/>
      <c r="N9" s="2"/>
      <c r="O9" s="2"/>
      <c r="P9" s="2"/>
      <c r="Q9" s="2"/>
      <c r="R9" s="2"/>
      <c r="S9" s="2"/>
    </row>
    <row r="10" spans="1:19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A11" s="2"/>
      <c r="B11" s="2" t="s">
        <v>184</v>
      </c>
      <c r="C11" s="2"/>
      <c r="D11" s="2"/>
      <c r="E11" s="2"/>
      <c r="F11" s="2"/>
      <c r="G11" s="2"/>
      <c r="H11" s="2"/>
      <c r="I11" s="2"/>
      <c r="J11" s="2"/>
      <c r="K11" s="66">
        <v>0.15</v>
      </c>
      <c r="L11" s="2"/>
      <c r="M11" s="2"/>
      <c r="N11" s="2"/>
      <c r="O11" s="2"/>
      <c r="P11" s="2"/>
      <c r="Q11" s="2"/>
      <c r="R11" s="2"/>
      <c r="S11" s="2"/>
    </row>
    <row r="12" spans="1:1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>
      <c r="A13" s="2"/>
      <c r="B13" s="2" t="s">
        <v>185</v>
      </c>
      <c r="C13" s="2"/>
      <c r="D13" s="2"/>
      <c r="E13" s="2"/>
      <c r="F13" s="2"/>
      <c r="G13" s="2"/>
      <c r="H13" s="2"/>
      <c r="I13" s="2"/>
      <c r="J13" s="2"/>
      <c r="K13" s="67">
        <v>3439.6868992035156</v>
      </c>
      <c r="L13" s="2"/>
      <c r="M13" s="2"/>
      <c r="N13" s="2"/>
      <c r="O13" s="2"/>
      <c r="P13" s="2"/>
      <c r="Q13" s="2"/>
      <c r="R13" s="2"/>
      <c r="S13" s="2"/>
    </row>
    <row r="14" spans="1:1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>
      <c r="A15" s="2"/>
      <c r="B15" s="2" t="s">
        <v>186</v>
      </c>
      <c r="C15" s="2"/>
      <c r="D15" s="2"/>
      <c r="E15" s="2"/>
      <c r="F15" s="2"/>
      <c r="G15" s="2"/>
      <c r="H15" s="2"/>
      <c r="I15" s="2"/>
      <c r="J15" s="2"/>
      <c r="K15" s="2">
        <v>23313</v>
      </c>
      <c r="L15" s="2" t="s">
        <v>187</v>
      </c>
      <c r="M15" s="2"/>
      <c r="N15" s="2"/>
      <c r="O15" s="2"/>
      <c r="P15" s="2"/>
      <c r="Q15" s="2"/>
      <c r="R15" s="2"/>
      <c r="S15" s="2"/>
    </row>
    <row r="16" spans="1:19">
      <c r="A16" s="2"/>
      <c r="B16" s="2" t="s">
        <v>188</v>
      </c>
      <c r="C16" s="2"/>
      <c r="D16" s="2"/>
      <c r="E16" s="2"/>
      <c r="F16" s="2"/>
      <c r="G16" s="2"/>
      <c r="H16" s="2"/>
      <c r="I16" s="2"/>
      <c r="J16" s="2"/>
      <c r="K16" s="2">
        <v>19764</v>
      </c>
      <c r="L16" s="2"/>
      <c r="M16" s="2"/>
      <c r="N16" s="2"/>
      <c r="O16" s="2"/>
      <c r="P16" s="2"/>
      <c r="Q16" s="2"/>
      <c r="R16" s="2"/>
      <c r="S16" s="2"/>
    </row>
    <row r="17" spans="1:19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8">
        <v>2</v>
      </c>
      <c r="B20" s="8" t="s">
        <v>189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2"/>
      <c r="B22" s="2" t="s">
        <v>190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2"/>
      <c r="B24" s="2" t="s">
        <v>191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2"/>
      <c r="B26" s="2" t="s">
        <v>192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>
      <c r="A28" s="2"/>
      <c r="B28" s="2"/>
      <c r="C28" s="7" t="s">
        <v>193</v>
      </c>
      <c r="D28" s="7">
        <v>0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2"/>
      <c r="Q28" s="2"/>
      <c r="R28" s="2"/>
      <c r="S28" s="2"/>
    </row>
    <row r="29" spans="1:19">
      <c r="A29" s="2"/>
      <c r="B29" s="2"/>
      <c r="C29" s="7"/>
      <c r="D29" s="7" t="s">
        <v>194</v>
      </c>
      <c r="E29" s="7" t="s">
        <v>195</v>
      </c>
      <c r="F29" s="7" t="s">
        <v>196</v>
      </c>
      <c r="G29" s="7" t="s">
        <v>197</v>
      </c>
      <c r="H29" s="7" t="s">
        <v>198</v>
      </c>
      <c r="I29" s="7" t="s">
        <v>199</v>
      </c>
      <c r="J29" s="7" t="s">
        <v>200</v>
      </c>
      <c r="K29" s="7" t="s">
        <v>201</v>
      </c>
      <c r="L29" s="7" t="s">
        <v>202</v>
      </c>
      <c r="M29" s="7" t="s">
        <v>203</v>
      </c>
      <c r="N29" s="7" t="s">
        <v>204</v>
      </c>
      <c r="O29" s="7" t="s">
        <v>205</v>
      </c>
      <c r="P29" s="2"/>
      <c r="Q29" s="2"/>
      <c r="R29" s="2"/>
      <c r="S29" s="2"/>
    </row>
    <row r="30" spans="1:19">
      <c r="A30" s="2"/>
      <c r="B30" s="2"/>
      <c r="C30" s="7" t="s">
        <v>85</v>
      </c>
      <c r="D30" s="68">
        <f>K5</f>
        <v>-2524</v>
      </c>
      <c r="E30" s="68">
        <f>$D$30*(1+$K$7)^E28</f>
        <v>-1676.7311219122382</v>
      </c>
      <c r="F30" s="68">
        <f t="shared" ref="F30:N30" si="0">$D$30*(1+$K$7)^F28</f>
        <v>-1113.8776763823585</v>
      </c>
      <c r="G30" s="68">
        <f t="shared" si="0"/>
        <v>-739.965675908712</v>
      </c>
      <c r="H30" s="68">
        <f t="shared" si="0"/>
        <v>-491.57031614221961</v>
      </c>
      <c r="I30" s="68">
        <f t="shared" si="0"/>
        <v>-326.5575466259499</v>
      </c>
      <c r="J30" s="68">
        <f t="shared" si="0"/>
        <v>-216.93708459708279</v>
      </c>
      <c r="K30" s="68">
        <f t="shared" si="0"/>
        <v>-144.11456467545037</v>
      </c>
      <c r="L30" s="68">
        <f t="shared" si="0"/>
        <v>-95.737470567417475</v>
      </c>
      <c r="M30" s="68">
        <f t="shared" si="0"/>
        <v>-63.599840108377883</v>
      </c>
      <c r="N30" s="68">
        <f t="shared" si="0"/>
        <v>-42.250329341663793</v>
      </c>
      <c r="O30" s="68">
        <f>N30*(1+$K$9)</f>
        <v>-43.517839221913711</v>
      </c>
      <c r="P30" s="2"/>
      <c r="Q30" s="2"/>
      <c r="R30" s="2"/>
      <c r="S30" s="2"/>
    </row>
    <row r="31" spans="1:19">
      <c r="A31" s="2"/>
      <c r="B31" s="2"/>
      <c r="C31" s="7" t="s">
        <v>206</v>
      </c>
      <c r="D31" s="68"/>
      <c r="E31" s="68">
        <f>E30/(1+$K$11)^E28</f>
        <v>-1458.0270625323813</v>
      </c>
      <c r="F31" s="68">
        <f t="shared" ref="F31:N31" si="1">F30/(1+$K$11)^F28</f>
        <v>-842.25155113977974</v>
      </c>
      <c r="G31" s="68">
        <f t="shared" si="1"/>
        <v>-486.53944335248605</v>
      </c>
      <c r="H31" s="68">
        <f t="shared" si="1"/>
        <v>-281.05692369150756</v>
      </c>
      <c r="I31" s="68">
        <f t="shared" si="1"/>
        <v>-162.35681491850886</v>
      </c>
      <c r="J31" s="68">
        <f t="shared" si="1"/>
        <v>-93.787888247918744</v>
      </c>
      <c r="K31" s="68">
        <f t="shared" si="1"/>
        <v>-54.178002853893908</v>
      </c>
      <c r="L31" s="68">
        <f t="shared" si="1"/>
        <v>-31.296748952034029</v>
      </c>
      <c r="M31" s="68">
        <f t="shared" si="1"/>
        <v>-18.079043954575098</v>
      </c>
      <c r="N31" s="68">
        <f t="shared" si="1"/>
        <v>-10.443635241871212</v>
      </c>
      <c r="O31" s="68"/>
      <c r="P31" s="2"/>
      <c r="Q31" s="2"/>
      <c r="R31" s="2"/>
      <c r="S31" s="2"/>
    </row>
    <row r="32" spans="1:19" ht="25">
      <c r="A32" s="2"/>
      <c r="B32" s="2"/>
      <c r="C32" s="60" t="s">
        <v>207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68">
        <f>O30/((K11-K9)*((1+K11)^O28))</f>
        <v>-77.948871732806893</v>
      </c>
      <c r="O32" s="69"/>
      <c r="P32" s="2"/>
      <c r="Q32" s="2"/>
      <c r="R32" s="2"/>
      <c r="S32" s="2"/>
    </row>
    <row r="33" spans="1:19">
      <c r="A33" s="2"/>
      <c r="B33" s="2"/>
      <c r="C33" s="60" t="s">
        <v>208</v>
      </c>
      <c r="D33" s="69">
        <f>SUM(E31:N31)+N32</f>
        <v>-3515.9659866177631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"/>
      <c r="Q33" s="2"/>
      <c r="R33" s="2"/>
      <c r="S33" s="2"/>
    </row>
    <row r="34" spans="1:19" ht="25">
      <c r="A34" s="2"/>
      <c r="B34" s="2"/>
      <c r="C34" s="70" t="s">
        <v>209</v>
      </c>
      <c r="D34" s="71">
        <f>D33/$K$13</f>
        <v>-1.022176171741652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"/>
      <c r="B35" s="2"/>
      <c r="C35" s="70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2"/>
      <c r="B36" s="2"/>
      <c r="C36" s="7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8">
        <v>3</v>
      </c>
      <c r="B37" s="8" t="s">
        <v>210</v>
      </c>
      <c r="C37" s="8"/>
      <c r="D37" s="2"/>
      <c r="E37" s="2"/>
      <c r="F37" s="72">
        <v>72.819999999999993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>
      <c r="A39" s="8">
        <v>4</v>
      </c>
      <c r="B39" s="8" t="s">
        <v>211</v>
      </c>
      <c r="C39" s="8"/>
      <c r="D39" s="8"/>
      <c r="E39" s="8"/>
      <c r="F39" s="73">
        <f>F37/D34</f>
        <v>-71.240165847267221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>
      <c r="A40" s="2"/>
      <c r="B40" s="8" t="s">
        <v>212</v>
      </c>
      <c r="C40" s="2"/>
      <c r="D40" s="2"/>
      <c r="E40" s="2"/>
      <c r="F40" s="74">
        <f>1-F39</f>
        <v>72.240165847267221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>
      <c r="A41" s="2"/>
      <c r="B41" s="8"/>
      <c r="C41" s="2"/>
      <c r="D41" s="2"/>
      <c r="E41" s="2"/>
      <c r="F41" s="7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>
      <c r="A42" s="2">
        <v>5</v>
      </c>
      <c r="B42" s="8" t="s">
        <v>213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2"/>
      <c r="B43" s="2"/>
      <c r="C43" s="2" t="s">
        <v>214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>
      <c r="A44" s="2"/>
      <c r="B44" s="2"/>
      <c r="C44" s="2" t="s">
        <v>215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2"/>
      <c r="B45" s="2"/>
      <c r="C45" s="2" t="s">
        <v>176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workbookViewId="0">
      <selection activeCell="B1" sqref="B1:C1"/>
    </sheetView>
  </sheetViews>
  <sheetFormatPr baseColWidth="10" defaultRowHeight="15" x14ac:dyDescent="0"/>
  <cols>
    <col min="2" max="2" width="76" customWidth="1"/>
    <col min="8" max="8" width="21.6640625" customWidth="1"/>
  </cols>
  <sheetData>
    <row r="2" spans="1:8">
      <c r="A2" s="8" t="s">
        <v>216</v>
      </c>
      <c r="B2" s="2"/>
      <c r="C2" s="2"/>
      <c r="D2" s="2"/>
      <c r="E2" s="2"/>
      <c r="F2" s="2"/>
      <c r="G2" s="2"/>
      <c r="H2" s="2"/>
    </row>
    <row r="3" spans="1:8">
      <c r="A3" s="2"/>
      <c r="B3" s="8"/>
      <c r="C3" s="2"/>
      <c r="D3" s="2"/>
      <c r="E3" s="2"/>
      <c r="F3" s="2"/>
      <c r="G3" s="2"/>
      <c r="H3" s="2"/>
    </row>
    <row r="4" spans="1:8">
      <c r="A4" s="7"/>
      <c r="B4" s="32" t="s">
        <v>217</v>
      </c>
      <c r="C4" s="32" t="s">
        <v>218</v>
      </c>
      <c r="D4" s="2"/>
      <c r="E4" s="2"/>
      <c r="F4" s="2"/>
      <c r="G4" s="2"/>
      <c r="H4" s="2"/>
    </row>
    <row r="5" spans="1:8">
      <c r="A5" s="7">
        <v>1</v>
      </c>
      <c r="B5" s="76" t="s">
        <v>219</v>
      </c>
      <c r="C5" s="7">
        <v>1</v>
      </c>
      <c r="D5" s="2"/>
      <c r="E5" s="2"/>
      <c r="F5" s="2"/>
      <c r="G5" s="2"/>
      <c r="H5" s="2"/>
    </row>
    <row r="6" spans="1:8">
      <c r="A6" s="7">
        <v>2</v>
      </c>
      <c r="B6" s="76" t="s">
        <v>220</v>
      </c>
      <c r="C6" s="7">
        <v>1</v>
      </c>
      <c r="D6" s="2"/>
      <c r="E6" s="2"/>
      <c r="F6" s="2"/>
      <c r="G6" s="2"/>
      <c r="H6" s="2"/>
    </row>
    <row r="7" spans="1:8" ht="25">
      <c r="A7" s="7">
        <v>3</v>
      </c>
      <c r="B7" s="77" t="s">
        <v>221</v>
      </c>
      <c r="C7" s="7">
        <v>0</v>
      </c>
      <c r="D7" s="2"/>
      <c r="E7" s="2"/>
      <c r="F7" s="2"/>
      <c r="G7" s="2"/>
      <c r="H7" s="2"/>
    </row>
    <row r="8" spans="1:8">
      <c r="A8" s="7">
        <v>4</v>
      </c>
      <c r="B8" s="77" t="s">
        <v>222</v>
      </c>
      <c r="C8" s="7">
        <v>0</v>
      </c>
      <c r="D8" s="2"/>
      <c r="E8" s="2"/>
      <c r="F8" s="2"/>
      <c r="G8" s="2"/>
      <c r="H8" s="2"/>
    </row>
    <row r="9" spans="1:8" ht="25">
      <c r="A9" s="7">
        <v>5</v>
      </c>
      <c r="B9" s="77" t="s">
        <v>223</v>
      </c>
      <c r="C9" s="7">
        <v>0</v>
      </c>
      <c r="D9" s="2"/>
      <c r="E9" s="2"/>
      <c r="F9" s="2"/>
      <c r="G9" s="2"/>
      <c r="H9" s="2"/>
    </row>
    <row r="10" spans="1:8" ht="25">
      <c r="A10" s="7">
        <v>6</v>
      </c>
      <c r="B10" s="77" t="s">
        <v>224</v>
      </c>
      <c r="C10" s="7">
        <v>0</v>
      </c>
      <c r="D10" s="2"/>
      <c r="E10" s="2"/>
      <c r="F10" s="2"/>
      <c r="G10" s="2"/>
      <c r="H10" s="2"/>
    </row>
    <row r="11" spans="1:8" ht="25">
      <c r="A11" s="7">
        <v>7</v>
      </c>
      <c r="B11" s="77" t="s">
        <v>225</v>
      </c>
      <c r="C11" s="7">
        <v>0</v>
      </c>
      <c r="D11" s="2"/>
      <c r="E11" s="2"/>
      <c r="F11" s="2"/>
      <c r="G11" s="2"/>
      <c r="H11" s="2"/>
    </row>
    <row r="12" spans="1:8" ht="25">
      <c r="A12" s="7">
        <v>8</v>
      </c>
      <c r="B12" s="77" t="s">
        <v>226</v>
      </c>
      <c r="C12" s="7">
        <v>1</v>
      </c>
      <c r="D12" s="2"/>
      <c r="E12" s="2"/>
      <c r="F12" s="2"/>
      <c r="G12" s="2"/>
      <c r="H12" s="2"/>
    </row>
    <row r="13" spans="1:8" ht="25">
      <c r="A13" s="7">
        <v>9</v>
      </c>
      <c r="B13" s="77" t="s">
        <v>227</v>
      </c>
      <c r="C13" s="7">
        <v>0</v>
      </c>
      <c r="D13" s="2"/>
      <c r="E13" s="2"/>
      <c r="F13" s="2"/>
      <c r="G13" s="2"/>
      <c r="H13" s="2"/>
    </row>
    <row r="14" spans="1:8">
      <c r="A14" s="7"/>
      <c r="B14" s="78" t="s">
        <v>228</v>
      </c>
      <c r="C14" s="79">
        <f>SUM(C5:C13)</f>
        <v>3</v>
      </c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8" t="s">
        <v>229</v>
      </c>
      <c r="C17" s="2"/>
      <c r="D17" s="2"/>
      <c r="E17" s="2"/>
      <c r="F17" s="2"/>
      <c r="G17" s="2"/>
      <c r="H17" s="2"/>
    </row>
    <row r="18" spans="1:8">
      <c r="A18" s="2"/>
      <c r="B18" s="8" t="s">
        <v>230</v>
      </c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4" workbookViewId="0">
      <selection activeCell="H37" sqref="H37"/>
    </sheetView>
  </sheetViews>
  <sheetFormatPr baseColWidth="10" defaultRowHeight="15" x14ac:dyDescent="0"/>
  <cols>
    <col min="1" max="1" width="35.83203125" customWidth="1"/>
    <col min="6" max="6" width="17.1640625" customWidth="1"/>
  </cols>
  <sheetData>
    <row r="1" spans="1:6">
      <c r="A1" s="8" t="s">
        <v>231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>
      <c r="A3" s="2" t="s">
        <v>101</v>
      </c>
      <c r="B3" s="80">
        <v>68531</v>
      </c>
      <c r="C3" s="2"/>
      <c r="D3" s="2"/>
      <c r="E3" s="2"/>
      <c r="F3" s="2"/>
    </row>
    <row r="4" spans="1:6">
      <c r="A4" s="2" t="s">
        <v>102</v>
      </c>
      <c r="B4" s="80">
        <v>63448</v>
      </c>
      <c r="C4" s="2"/>
      <c r="D4" s="2"/>
      <c r="E4" s="2"/>
      <c r="F4" s="2"/>
    </row>
    <row r="5" spans="1:6">
      <c r="A5" s="2" t="s">
        <v>232</v>
      </c>
      <c r="B5" s="80">
        <v>231839</v>
      </c>
      <c r="C5" s="2"/>
      <c r="D5" s="2"/>
      <c r="E5" s="2"/>
      <c r="F5" s="2"/>
    </row>
    <row r="6" spans="1:6">
      <c r="A6" s="2" t="s">
        <v>44</v>
      </c>
      <c r="B6" s="80">
        <v>52503</v>
      </c>
      <c r="C6" s="2"/>
      <c r="D6" s="2"/>
      <c r="E6" s="2"/>
      <c r="F6" s="2"/>
    </row>
    <row r="7" spans="1:6">
      <c r="A7" s="2" t="s">
        <v>32</v>
      </c>
      <c r="B7" s="80">
        <v>250478</v>
      </c>
      <c r="C7" s="2"/>
      <c r="D7" s="2"/>
      <c r="E7" s="2"/>
      <c r="F7" s="2"/>
    </row>
    <row r="8" spans="1:6">
      <c r="A8" s="2" t="s">
        <v>54</v>
      </c>
      <c r="B8" s="80">
        <v>120292</v>
      </c>
      <c r="C8" s="2"/>
      <c r="D8" s="2"/>
      <c r="E8" s="2"/>
      <c r="F8" s="2"/>
    </row>
    <row r="9" spans="1:6">
      <c r="A9" s="2" t="s">
        <v>121</v>
      </c>
      <c r="B9" s="80">
        <v>87152</v>
      </c>
      <c r="C9" s="2"/>
      <c r="D9" s="2"/>
      <c r="E9" s="2"/>
      <c r="F9" s="2"/>
    </row>
    <row r="10" spans="1:6">
      <c r="A10" s="2" t="s">
        <v>89</v>
      </c>
      <c r="B10" s="80">
        <v>182795</v>
      </c>
      <c r="C10" s="2"/>
      <c r="D10" s="2"/>
      <c r="E10" s="2"/>
      <c r="F10" s="2"/>
    </row>
    <row r="11" spans="1:6">
      <c r="A11" s="2"/>
      <c r="B11" s="81"/>
      <c r="C11" s="2"/>
      <c r="D11" s="2"/>
      <c r="E11" s="2"/>
      <c r="F11" s="2"/>
    </row>
    <row r="12" spans="1:6">
      <c r="A12" s="2"/>
      <c r="B12" s="81"/>
      <c r="C12" s="2"/>
      <c r="D12" s="2"/>
      <c r="E12" s="2"/>
      <c r="F12" s="2"/>
    </row>
    <row r="13" spans="1:6">
      <c r="A13" s="2"/>
      <c r="B13" s="8" t="s">
        <v>233</v>
      </c>
      <c r="C13" s="8" t="s">
        <v>218</v>
      </c>
      <c r="D13" s="2"/>
      <c r="E13" s="2"/>
      <c r="F13" s="2"/>
    </row>
    <row r="14" spans="1:6">
      <c r="A14" s="2" t="s">
        <v>234</v>
      </c>
      <c r="B14" s="2">
        <f>(B3-B4)/B5</f>
        <v>2.1924697742830155E-2</v>
      </c>
      <c r="C14" s="2">
        <f>1.2*B14</f>
        <v>2.6309637291396185E-2</v>
      </c>
      <c r="D14" s="2"/>
      <c r="E14" s="2"/>
      <c r="F14" s="2"/>
    </row>
    <row r="15" spans="1:6">
      <c r="A15" s="2" t="s">
        <v>235</v>
      </c>
      <c r="B15" s="2">
        <f>B9/B5</f>
        <v>0.37591604518653032</v>
      </c>
      <c r="C15" s="2">
        <f>1.4*B15</f>
        <v>0.52628246326114236</v>
      </c>
      <c r="D15" s="2"/>
      <c r="E15" s="2"/>
      <c r="F15" s="2"/>
    </row>
    <row r="16" spans="1:6">
      <c r="A16" s="2" t="s">
        <v>236</v>
      </c>
      <c r="B16" s="2">
        <f>B6/B5</f>
        <v>0.22646319212902058</v>
      </c>
      <c r="C16" s="2">
        <f>3.3*B16</f>
        <v>0.74732853402576782</v>
      </c>
      <c r="D16" s="2"/>
      <c r="E16" s="2"/>
      <c r="F16" s="2"/>
    </row>
    <row r="17" spans="1:6">
      <c r="A17" s="2" t="s">
        <v>237</v>
      </c>
      <c r="B17" s="2">
        <f>B7/B8</f>
        <v>2.0822498586772187</v>
      </c>
      <c r="C17" s="2">
        <f>0.6*B17</f>
        <v>1.2493499152063312</v>
      </c>
      <c r="D17" s="2"/>
      <c r="E17" s="2"/>
      <c r="F17" s="2"/>
    </row>
    <row r="18" spans="1:6">
      <c r="A18" s="2" t="s">
        <v>238</v>
      </c>
      <c r="B18" s="2">
        <f>B10/B5</f>
        <v>0.78845664448173081</v>
      </c>
      <c r="C18" s="2">
        <f>1*B18</f>
        <v>0.78845664448173081</v>
      </c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8" t="s">
        <v>239</v>
      </c>
      <c r="C20" s="82">
        <f>SUM(C14:C18)</f>
        <v>3.3377271942663684</v>
      </c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95" t="s">
        <v>240</v>
      </c>
      <c r="B22" s="92"/>
      <c r="C22" s="9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 t="s">
        <v>241</v>
      </c>
      <c r="B24" s="2"/>
      <c r="C24" s="2"/>
      <c r="D24" s="2"/>
      <c r="E24" s="2"/>
      <c r="F24" s="2"/>
    </row>
    <row r="25" spans="1:6">
      <c r="A25" s="2" t="s">
        <v>242</v>
      </c>
      <c r="B25" s="2"/>
      <c r="C25" s="2"/>
      <c r="D25" s="2"/>
      <c r="E25" s="2"/>
      <c r="F25" s="2"/>
    </row>
    <row r="26" spans="1:6">
      <c r="A26" s="2" t="s">
        <v>243</v>
      </c>
      <c r="B26" s="2"/>
      <c r="C26" s="2"/>
      <c r="D26" s="2"/>
      <c r="E26" s="2"/>
      <c r="F26" s="2"/>
    </row>
    <row r="27" spans="1:6">
      <c r="A27" s="2" t="s">
        <v>244</v>
      </c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</sheetData>
  <mergeCells count="1">
    <mergeCell ref="A22:C2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 Minute Quickscan</vt:lpstr>
      <vt:lpstr>Data Input</vt:lpstr>
      <vt:lpstr>Value Indicators</vt:lpstr>
      <vt:lpstr>PE Ratio valuation</vt:lpstr>
      <vt:lpstr>FCF valuation</vt:lpstr>
      <vt:lpstr>Piotroski F score</vt:lpstr>
      <vt:lpstr>Altman Z Score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